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style30.xml" ContentType="application/vnd.ms-office.chartstyle+xml"/>
  <Override PartName="/xl/charts/colors30.xml" ContentType="application/vnd.ms-office.chartcolorstyle+xml"/>
  <Override PartName="/xl/charts/chart38.xml" ContentType="application/vnd.openxmlformats-officedocument.drawingml.chart+xml"/>
  <Override PartName="/xl/charts/style31.xml" ContentType="application/vnd.ms-office.chartstyle+xml"/>
  <Override PartName="/xl/charts/colors31.xml" ContentType="application/vnd.ms-office.chartcolorstyle+xml"/>
  <Override PartName="/xl/charts/chart39.xml" ContentType="application/vnd.openxmlformats-officedocument.drawingml.chart+xml"/>
  <Override PartName="/xl/drawings/drawing2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laru.local\users\UserData\F03123489\Documents\3_kybermittari\projektin johto ja kehitys\palautteet ja kehitys\kehitysversiot_työkalu\v2.1\julkaistut\"/>
    </mc:Choice>
  </mc:AlternateContent>
  <xr:revisionPtr revIDLastSave="0" documentId="13_ncr:1_{F1367881-5FF2-42E1-BF32-83B7B43F4F29}" xr6:coauthVersionLast="47" xr6:coauthVersionMax="47" xr10:uidLastSave="{00000000-0000-0000-0000-000000000000}"/>
  <bookViews>
    <workbookView xWindow="86280" yWindow="-120" windowWidth="29040" windowHeight="15840" tabRatio="951" xr2:uid="{00000000-000D-0000-FFFF-FFFF00000000}"/>
  </bookViews>
  <sheets>
    <sheet name="Changelog" sheetId="59" r:id="rId1"/>
    <sheet name="Muutokset" sheetId="55" r:id="rId2"/>
    <sheet name="Summary" sheetId="6" r:id="rId3"/>
    <sheet name="CRITICAL" sheetId="12" r:id="rId4"/>
    <sheet name="ASSET" sheetId="8" r:id="rId5"/>
    <sheet name="THREAT" sheetId="21" r:id="rId6"/>
    <sheet name="RISK" sheetId="1" r:id="rId7"/>
    <sheet name="ACCESS" sheetId="10" r:id="rId8"/>
    <sheet name="SITUATION" sheetId="17" r:id="rId9"/>
    <sheet name="RESPONSE" sheetId="18" r:id="rId10"/>
    <sheet name="THIRD-PARTIES" sheetId="19" r:id="rId11"/>
    <sheet name="WORKFORCE" sheetId="20" r:id="rId12"/>
    <sheet name="ARCHITECTURE" sheetId="16" r:id="rId13"/>
    <sheet name="PROGRAM" sheetId="14" r:id="rId14"/>
    <sheet name="Investment" sheetId="13" state="hidden" r:id="rId15"/>
    <sheet name="R1" sheetId="48" r:id="rId16"/>
    <sheet name="R2" sheetId="34" r:id="rId17"/>
    <sheet name="R3" sheetId="50" r:id="rId18"/>
    <sheet name="R4" sheetId="38" r:id="rId19"/>
    <sheet name="R5" sheetId="51" r:id="rId20"/>
    <sheet name="R6" sheetId="53" r:id="rId21"/>
    <sheet name="R7" sheetId="56" r:id="rId22"/>
    <sheet name="Export" sheetId="39" r:id="rId23"/>
    <sheet name="Export_KTK" sheetId="58" r:id="rId24"/>
    <sheet name="Infoimport" sheetId="57" r:id="rId25"/>
    <sheet name="Import" sheetId="32" r:id="rId26"/>
    <sheet name="Data" sheetId="5" r:id="rId27"/>
    <sheet name="NISTmap" sheetId="49" r:id="rId28"/>
    <sheet name="NIST CSF" sheetId="62" r:id="rId29"/>
    <sheet name="Languages" sheetId="4" r:id="rId30"/>
    <sheet name="Parameters" sheetId="7" r:id="rId31"/>
    <sheet name="NISTmap_v2" sheetId="60" state="hidden" r:id="rId32"/>
  </sheets>
  <definedNames>
    <definedName name="_xlnm._FilterDatabase" localSheetId="26" hidden="1">Data!$A$1:$I$384</definedName>
    <definedName name="_xlnm._FilterDatabase" localSheetId="29" hidden="1">Languages!$A$1:$F$616</definedName>
    <definedName name="_xlnm._FilterDatabase" localSheetId="27" hidden="1">NISTmap!$A$1:$G$1</definedName>
    <definedName name="_xlnm._FilterDatabase" localSheetId="31" hidden="1">NISTmap_v2!$A$1:$G$1</definedName>
    <definedName name="_xlnm.Print_Area" localSheetId="23">Export_KTK!$A$1:$B$466</definedName>
    <definedName name="_xlnm.Print_Area" localSheetId="15">'R1'!$A$1:$M$21</definedName>
    <definedName name="_xlnm.Print_Area" localSheetId="16">'R2'!$A$1:$K$47</definedName>
    <definedName name="_xlnm.Print_Area" localSheetId="17">'R3'!$A$1:$S$118</definedName>
    <definedName name="_xlnm.Print_Area" localSheetId="18">'R4'!$A$1:$K$41</definedName>
    <definedName name="_xlnm.Print_Area" localSheetId="2">Summary!$A$1:$W$48</definedName>
    <definedName name="Testssss" localSheetId="22">Export!#REF!</definedName>
    <definedName name="Testssss" localSheetId="23">Export_KTK!#REF!</definedName>
    <definedName name="wide_schema" localSheetId="22">Export!#REF!</definedName>
    <definedName name="wide_schema" localSheetId="23">Export_KTK!#REF!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17" l="1"/>
  <c r="R19" i="17"/>
  <c r="Q19" i="17"/>
  <c r="P19" i="17"/>
  <c r="O19" i="17"/>
  <c r="O15" i="17"/>
  <c r="P15" i="17"/>
  <c r="Q15" i="17"/>
  <c r="R15" i="17"/>
  <c r="S15" i="17"/>
  <c r="O17" i="17"/>
  <c r="P17" i="17"/>
  <c r="Q17" i="17"/>
  <c r="R17" i="17"/>
  <c r="S17" i="17"/>
  <c r="S13" i="17"/>
  <c r="R13" i="17"/>
  <c r="Q13" i="17"/>
  <c r="P13" i="17"/>
  <c r="O13" i="17"/>
  <c r="S21" i="18"/>
  <c r="R21" i="18"/>
  <c r="Q21" i="18"/>
  <c r="P21" i="18"/>
  <c r="O21" i="18"/>
  <c r="S19" i="18"/>
  <c r="R19" i="18"/>
  <c r="Q19" i="18"/>
  <c r="P19" i="18"/>
  <c r="O19" i="18"/>
  <c r="S17" i="18"/>
  <c r="R17" i="18"/>
  <c r="Q17" i="18"/>
  <c r="P17" i="18"/>
  <c r="O17" i="18"/>
  <c r="S15" i="18"/>
  <c r="R15" i="18"/>
  <c r="Q15" i="18"/>
  <c r="P15" i="18"/>
  <c r="O15" i="18"/>
  <c r="S13" i="18"/>
  <c r="R13" i="18"/>
  <c r="Q13" i="18"/>
  <c r="P13" i="18"/>
  <c r="O13" i="18"/>
  <c r="S17" i="19"/>
  <c r="R17" i="19"/>
  <c r="Q17" i="19"/>
  <c r="P17" i="19"/>
  <c r="O17" i="19"/>
  <c r="S15" i="19"/>
  <c r="R15" i="19"/>
  <c r="Q15" i="19"/>
  <c r="P15" i="19"/>
  <c r="O15" i="19"/>
  <c r="S13" i="19"/>
  <c r="R13" i="19"/>
  <c r="Q13" i="19"/>
  <c r="P13" i="19"/>
  <c r="O13" i="19"/>
  <c r="S21" i="20"/>
  <c r="R21" i="20"/>
  <c r="Q21" i="20"/>
  <c r="P21" i="20"/>
  <c r="O21" i="20"/>
  <c r="S19" i="20"/>
  <c r="R19" i="20"/>
  <c r="Q19" i="20"/>
  <c r="P19" i="20"/>
  <c r="O19" i="20"/>
  <c r="S17" i="20"/>
  <c r="R17" i="20"/>
  <c r="Q17" i="20"/>
  <c r="P17" i="20"/>
  <c r="O17" i="20"/>
  <c r="S15" i="20"/>
  <c r="R15" i="20"/>
  <c r="Q15" i="20"/>
  <c r="P15" i="20"/>
  <c r="O15" i="20"/>
  <c r="S13" i="20"/>
  <c r="R13" i="20"/>
  <c r="Q13" i="20"/>
  <c r="P13" i="20"/>
  <c r="O13" i="20"/>
  <c r="S24" i="16"/>
  <c r="R24" i="16"/>
  <c r="Q24" i="16"/>
  <c r="P24" i="16"/>
  <c r="O24" i="16"/>
  <c r="S22" i="16"/>
  <c r="R22" i="16"/>
  <c r="Q22" i="16"/>
  <c r="P22" i="16"/>
  <c r="O22" i="16"/>
  <c r="S20" i="16"/>
  <c r="R20" i="16"/>
  <c r="Q20" i="16"/>
  <c r="P20" i="16"/>
  <c r="O20" i="16"/>
  <c r="S18" i="16"/>
  <c r="R18" i="16"/>
  <c r="Q18" i="16"/>
  <c r="P18" i="16"/>
  <c r="O18" i="16"/>
  <c r="S16" i="16"/>
  <c r="R16" i="16"/>
  <c r="Q16" i="16"/>
  <c r="P16" i="16"/>
  <c r="O16" i="16"/>
  <c r="S14" i="16"/>
  <c r="R14" i="16"/>
  <c r="Q14" i="16"/>
  <c r="P14" i="16"/>
  <c r="O14" i="16"/>
  <c r="S17" i="14"/>
  <c r="R17" i="14"/>
  <c r="Q17" i="14"/>
  <c r="P17" i="14"/>
  <c r="O17" i="14"/>
  <c r="S15" i="14"/>
  <c r="R15" i="14"/>
  <c r="Q15" i="14"/>
  <c r="P15" i="14"/>
  <c r="O15" i="14"/>
  <c r="S13" i="14"/>
  <c r="R13" i="14"/>
  <c r="Q13" i="14"/>
  <c r="P13" i="14"/>
  <c r="O13" i="14"/>
  <c r="S12" i="18"/>
  <c r="R12" i="18"/>
  <c r="Q12" i="18"/>
  <c r="P12" i="18"/>
  <c r="O12" i="18"/>
  <c r="S12" i="19"/>
  <c r="R12" i="19"/>
  <c r="Q12" i="19"/>
  <c r="P12" i="19"/>
  <c r="O12" i="19"/>
  <c r="S12" i="14"/>
  <c r="R12" i="14"/>
  <c r="Q12" i="14"/>
  <c r="P12" i="14"/>
  <c r="O12" i="14"/>
  <c r="S13" i="16"/>
  <c r="R13" i="16"/>
  <c r="Q13" i="16"/>
  <c r="P13" i="16"/>
  <c r="O13" i="16"/>
  <c r="S12" i="20"/>
  <c r="R12" i="20"/>
  <c r="Q12" i="20"/>
  <c r="P12" i="20"/>
  <c r="O12" i="20"/>
  <c r="S12" i="17"/>
  <c r="R12" i="17"/>
  <c r="Q12" i="17"/>
  <c r="P12" i="17"/>
  <c r="O12" i="17"/>
  <c r="S12" i="10"/>
  <c r="R12" i="10"/>
  <c r="Q12" i="10"/>
  <c r="P12" i="10"/>
  <c r="O12" i="10"/>
  <c r="S12" i="1"/>
  <c r="R12" i="1"/>
  <c r="Q12" i="1"/>
  <c r="P12" i="1"/>
  <c r="O12" i="1"/>
  <c r="S12" i="21"/>
  <c r="R12" i="21"/>
  <c r="Q12" i="21"/>
  <c r="P12" i="21"/>
  <c r="O12" i="21"/>
  <c r="S12" i="8"/>
  <c r="R12" i="8"/>
  <c r="Q12" i="8"/>
  <c r="P12" i="8"/>
  <c r="O12" i="8"/>
  <c r="S12" i="12"/>
  <c r="R12" i="12"/>
  <c r="Q12" i="12"/>
  <c r="P12" i="12"/>
  <c r="O12" i="12"/>
  <c r="S19" i="10"/>
  <c r="R19" i="10"/>
  <c r="Q19" i="10"/>
  <c r="P19" i="10"/>
  <c r="O19" i="10"/>
  <c r="S17" i="10"/>
  <c r="R17" i="10"/>
  <c r="Q17" i="10"/>
  <c r="P17" i="10"/>
  <c r="O17" i="10"/>
  <c r="S15" i="10"/>
  <c r="R15" i="10"/>
  <c r="Q15" i="10"/>
  <c r="P15" i="10"/>
  <c r="O15" i="10"/>
  <c r="S13" i="10"/>
  <c r="R13" i="10"/>
  <c r="Q13" i="10"/>
  <c r="P13" i="10"/>
  <c r="O13" i="10"/>
  <c r="S21" i="1"/>
  <c r="R21" i="1"/>
  <c r="Q21" i="1"/>
  <c r="P21" i="1"/>
  <c r="O21" i="1"/>
  <c r="S19" i="1"/>
  <c r="R19" i="1"/>
  <c r="Q19" i="1"/>
  <c r="P19" i="1"/>
  <c r="O19" i="1"/>
  <c r="S17" i="1"/>
  <c r="R17" i="1"/>
  <c r="Q17" i="1"/>
  <c r="P17" i="1"/>
  <c r="O17" i="1"/>
  <c r="S15" i="1"/>
  <c r="R15" i="1"/>
  <c r="Q15" i="1"/>
  <c r="P15" i="1"/>
  <c r="O15" i="1"/>
  <c r="S13" i="1"/>
  <c r="R13" i="1"/>
  <c r="Q13" i="1"/>
  <c r="P13" i="1"/>
  <c r="O13" i="1"/>
  <c r="S17" i="21"/>
  <c r="R17" i="21"/>
  <c r="Q17" i="21"/>
  <c r="P17" i="21"/>
  <c r="O17" i="21"/>
  <c r="S15" i="21"/>
  <c r="R15" i="21"/>
  <c r="Q15" i="21"/>
  <c r="P15" i="21"/>
  <c r="O15" i="21"/>
  <c r="S13" i="21"/>
  <c r="R13" i="21"/>
  <c r="Q13" i="21"/>
  <c r="P13" i="21"/>
  <c r="O13" i="21"/>
  <c r="S21" i="8"/>
  <c r="R21" i="8"/>
  <c r="Q21" i="8"/>
  <c r="P21" i="8"/>
  <c r="O21" i="8"/>
  <c r="S19" i="8"/>
  <c r="R19" i="8"/>
  <c r="Q19" i="8"/>
  <c r="P19" i="8"/>
  <c r="O19" i="8"/>
  <c r="S17" i="8"/>
  <c r="R17" i="8"/>
  <c r="Q17" i="8"/>
  <c r="P17" i="8"/>
  <c r="O17" i="8"/>
  <c r="S15" i="8"/>
  <c r="R15" i="8"/>
  <c r="Q15" i="8"/>
  <c r="P15" i="8"/>
  <c r="O15" i="8"/>
  <c r="S13" i="8"/>
  <c r="R13" i="8"/>
  <c r="Q13" i="8"/>
  <c r="P13" i="8"/>
  <c r="O13" i="8"/>
  <c r="P15" i="12" l="1"/>
  <c r="Q15" i="12"/>
  <c r="R15" i="12"/>
  <c r="S15" i="12"/>
  <c r="P17" i="12"/>
  <c r="Q17" i="12"/>
  <c r="R17" i="12"/>
  <c r="S17" i="12"/>
  <c r="S13" i="12"/>
  <c r="R13" i="12"/>
  <c r="Q13" i="12"/>
  <c r="P13" i="12"/>
  <c r="O13" i="12"/>
  <c r="O15" i="12"/>
  <c r="O17" i="12"/>
  <c r="E8" i="12"/>
  <c r="L11" i="50"/>
  <c r="L13" i="50"/>
  <c r="L20" i="50"/>
  <c r="L33" i="50"/>
  <c r="L35" i="50"/>
  <c r="L36" i="50"/>
  <c r="L37" i="50"/>
  <c r="L51" i="50"/>
  <c r="L55" i="50"/>
  <c r="L56" i="50"/>
  <c r="L57" i="50"/>
  <c r="L59" i="50"/>
  <c r="L63" i="50"/>
  <c r="L64" i="50"/>
  <c r="L65" i="50"/>
  <c r="L67" i="50"/>
  <c r="L69" i="50"/>
  <c r="L71" i="50"/>
  <c r="L73" i="50"/>
  <c r="L74" i="50"/>
  <c r="L77" i="50"/>
  <c r="L78" i="50"/>
  <c r="L91" i="50"/>
  <c r="L94" i="50"/>
  <c r="L102" i="50"/>
  <c r="L103" i="50"/>
  <c r="L109" i="50"/>
  <c r="L110" i="50"/>
  <c r="L112" i="50"/>
  <c r="L113" i="50"/>
  <c r="L114" i="50"/>
  <c r="L115" i="50"/>
  <c r="L116" i="50"/>
  <c r="P11" i="50"/>
  <c r="P13" i="50"/>
  <c r="P17" i="50"/>
  <c r="P27" i="50"/>
  <c r="P29" i="50"/>
  <c r="P31" i="50"/>
  <c r="P40" i="50"/>
  <c r="P43" i="50"/>
  <c r="P53" i="50"/>
  <c r="P61" i="50"/>
  <c r="P71" i="50"/>
  <c r="P80" i="50"/>
  <c r="P89" i="50"/>
  <c r="P107" i="50"/>
  <c r="P114" i="50"/>
  <c r="P115" i="50"/>
  <c r="N57" i="50"/>
  <c r="N61" i="50"/>
  <c r="N78" i="50"/>
  <c r="N86" i="50"/>
  <c r="N101" i="50"/>
  <c r="Q10" i="50"/>
  <c r="Q11" i="50"/>
  <c r="Q12" i="50"/>
  <c r="Q13" i="50"/>
  <c r="Q14" i="50"/>
  <c r="Q15" i="50"/>
  <c r="Q16" i="50"/>
  <c r="Q17" i="50"/>
  <c r="Q18" i="50"/>
  <c r="Q19" i="50"/>
  <c r="Q20" i="50"/>
  <c r="Q21" i="50"/>
  <c r="Q22" i="50"/>
  <c r="Q23" i="50"/>
  <c r="Q24" i="50"/>
  <c r="Q25" i="50"/>
  <c r="Q26" i="50"/>
  <c r="Q27" i="50"/>
  <c r="Q28" i="50"/>
  <c r="Q29" i="50"/>
  <c r="Q30" i="50"/>
  <c r="Q31" i="50"/>
  <c r="Q32" i="50"/>
  <c r="Q33" i="50"/>
  <c r="Q34" i="50"/>
  <c r="Q35" i="50"/>
  <c r="Q36" i="50"/>
  <c r="Q37" i="50"/>
  <c r="Q38" i="50"/>
  <c r="Q39" i="50"/>
  <c r="Q40" i="50"/>
  <c r="Q41" i="50"/>
  <c r="Q42" i="50"/>
  <c r="Q43" i="50"/>
  <c r="Q44" i="50"/>
  <c r="Q45" i="50"/>
  <c r="Q46" i="50"/>
  <c r="Q47" i="50"/>
  <c r="Q48" i="50"/>
  <c r="Q49" i="50"/>
  <c r="Q50" i="50"/>
  <c r="Q51" i="50"/>
  <c r="Q52" i="50"/>
  <c r="Q53" i="50"/>
  <c r="Q54" i="50"/>
  <c r="Q55" i="50"/>
  <c r="Q56" i="50"/>
  <c r="Q57" i="50"/>
  <c r="Q58" i="50"/>
  <c r="Q59" i="50"/>
  <c r="Q60" i="50"/>
  <c r="Q61" i="50"/>
  <c r="Q62" i="50"/>
  <c r="Q63" i="50"/>
  <c r="Q64" i="50"/>
  <c r="Q65" i="50"/>
  <c r="Q66" i="50"/>
  <c r="Q67" i="50"/>
  <c r="Q68" i="50"/>
  <c r="Q69" i="50"/>
  <c r="Q70" i="50"/>
  <c r="Q71" i="50"/>
  <c r="Q72" i="50"/>
  <c r="Q73" i="50"/>
  <c r="Q74" i="50"/>
  <c r="Q75" i="50"/>
  <c r="Q76" i="50"/>
  <c r="Q77" i="50"/>
  <c r="Q78" i="50"/>
  <c r="Q79" i="50"/>
  <c r="Q80" i="50"/>
  <c r="Q81" i="50"/>
  <c r="Q82" i="50"/>
  <c r="Q83" i="50"/>
  <c r="Q84" i="50"/>
  <c r="Q85" i="50"/>
  <c r="Q86" i="50"/>
  <c r="Q87" i="50"/>
  <c r="Q88" i="50"/>
  <c r="Q89" i="50"/>
  <c r="Q90" i="50"/>
  <c r="Q91" i="50"/>
  <c r="Q92" i="50"/>
  <c r="Q93" i="50"/>
  <c r="Q94" i="50"/>
  <c r="Q95" i="50"/>
  <c r="Q96" i="50"/>
  <c r="Q97" i="50"/>
  <c r="Q98" i="50"/>
  <c r="Q99" i="50"/>
  <c r="Q100" i="50"/>
  <c r="Q101" i="50"/>
  <c r="Q102" i="50"/>
  <c r="Q103" i="50"/>
  <c r="Q104" i="50"/>
  <c r="Q105" i="50"/>
  <c r="Q106" i="50"/>
  <c r="Q107" i="50"/>
  <c r="Q108" i="50"/>
  <c r="Q109" i="50"/>
  <c r="Q110" i="50"/>
  <c r="Q111" i="50"/>
  <c r="Q112" i="50"/>
  <c r="Q113" i="50"/>
  <c r="Q114" i="50"/>
  <c r="Q115" i="50"/>
  <c r="Q116" i="50"/>
  <c r="O10" i="50"/>
  <c r="O11" i="50"/>
  <c r="O12" i="50"/>
  <c r="O13" i="50"/>
  <c r="O14" i="50"/>
  <c r="O15" i="50"/>
  <c r="O16" i="50"/>
  <c r="O17" i="50"/>
  <c r="O18" i="50"/>
  <c r="O19" i="50"/>
  <c r="O20" i="50"/>
  <c r="O21" i="50"/>
  <c r="O22" i="50"/>
  <c r="O23" i="50"/>
  <c r="O24" i="50"/>
  <c r="O25" i="50"/>
  <c r="O26" i="50"/>
  <c r="O27" i="50"/>
  <c r="O28" i="50"/>
  <c r="O29" i="50"/>
  <c r="O30" i="50"/>
  <c r="O31" i="50"/>
  <c r="O32" i="50"/>
  <c r="O33" i="50"/>
  <c r="O34" i="50"/>
  <c r="O35" i="50"/>
  <c r="O36" i="50"/>
  <c r="O37" i="50"/>
  <c r="O38" i="50"/>
  <c r="O39" i="50"/>
  <c r="O40" i="50"/>
  <c r="O41" i="50"/>
  <c r="O42" i="50"/>
  <c r="O43" i="50"/>
  <c r="O44" i="50"/>
  <c r="O45" i="50"/>
  <c r="O46" i="50"/>
  <c r="O47" i="50"/>
  <c r="O48" i="50"/>
  <c r="O49" i="50"/>
  <c r="O50" i="50"/>
  <c r="O51" i="50"/>
  <c r="O52" i="50"/>
  <c r="O53" i="50"/>
  <c r="O54" i="50"/>
  <c r="O55" i="50"/>
  <c r="O56" i="50"/>
  <c r="O57" i="50"/>
  <c r="O58" i="50"/>
  <c r="O59" i="50"/>
  <c r="O60" i="50"/>
  <c r="O61" i="50"/>
  <c r="O62" i="50"/>
  <c r="O63" i="50"/>
  <c r="O64" i="50"/>
  <c r="O65" i="50"/>
  <c r="O66" i="50"/>
  <c r="O67" i="50"/>
  <c r="O68" i="50"/>
  <c r="O69" i="50"/>
  <c r="O70" i="50"/>
  <c r="O71" i="50"/>
  <c r="O72" i="50"/>
  <c r="O73" i="50"/>
  <c r="O74" i="50"/>
  <c r="O75" i="50"/>
  <c r="O76" i="50"/>
  <c r="O77" i="50"/>
  <c r="O78" i="50"/>
  <c r="O79" i="50"/>
  <c r="O80" i="50"/>
  <c r="O81" i="50"/>
  <c r="O82" i="50"/>
  <c r="O83" i="50"/>
  <c r="O84" i="50"/>
  <c r="O85" i="50"/>
  <c r="O86" i="50"/>
  <c r="O87" i="50"/>
  <c r="O88" i="50"/>
  <c r="O89" i="50"/>
  <c r="O90" i="50"/>
  <c r="O91" i="50"/>
  <c r="O92" i="50"/>
  <c r="O93" i="50"/>
  <c r="O94" i="50"/>
  <c r="O95" i="50"/>
  <c r="O96" i="50"/>
  <c r="O97" i="50"/>
  <c r="O98" i="50"/>
  <c r="O99" i="50"/>
  <c r="O100" i="50"/>
  <c r="O101" i="50"/>
  <c r="O102" i="50"/>
  <c r="O103" i="50"/>
  <c r="O104" i="50"/>
  <c r="O105" i="50"/>
  <c r="O106" i="50"/>
  <c r="O107" i="50"/>
  <c r="O108" i="50"/>
  <c r="O109" i="50"/>
  <c r="O110" i="50"/>
  <c r="O111" i="50"/>
  <c r="O112" i="50"/>
  <c r="O113" i="50"/>
  <c r="O114" i="50"/>
  <c r="O115" i="50"/>
  <c r="O116" i="50"/>
  <c r="M10" i="50"/>
  <c r="M11" i="50"/>
  <c r="M12" i="50"/>
  <c r="M13" i="50"/>
  <c r="M14" i="50"/>
  <c r="M15" i="50"/>
  <c r="M16" i="50"/>
  <c r="M17" i="50"/>
  <c r="M18" i="50"/>
  <c r="M19" i="50"/>
  <c r="M20" i="50"/>
  <c r="M21" i="50"/>
  <c r="M22" i="50"/>
  <c r="M23" i="50"/>
  <c r="M24" i="50"/>
  <c r="M25" i="50"/>
  <c r="M26" i="50"/>
  <c r="M27" i="50"/>
  <c r="M28" i="50"/>
  <c r="M29" i="50"/>
  <c r="M30" i="50"/>
  <c r="M31" i="50"/>
  <c r="M32" i="50"/>
  <c r="M33" i="50"/>
  <c r="M34" i="50"/>
  <c r="M35" i="50"/>
  <c r="M36" i="50"/>
  <c r="M37" i="50"/>
  <c r="M38" i="50"/>
  <c r="M39" i="50"/>
  <c r="M40" i="50"/>
  <c r="M41" i="50"/>
  <c r="M42" i="50"/>
  <c r="M43" i="50"/>
  <c r="M44" i="50"/>
  <c r="M45" i="50"/>
  <c r="M46" i="50"/>
  <c r="M47" i="50"/>
  <c r="M48" i="50"/>
  <c r="M49" i="50"/>
  <c r="M50" i="50"/>
  <c r="M51" i="50"/>
  <c r="M52" i="50"/>
  <c r="M53" i="50"/>
  <c r="M54" i="50"/>
  <c r="M55" i="50"/>
  <c r="M56" i="50"/>
  <c r="M57" i="50"/>
  <c r="M58" i="50"/>
  <c r="M59" i="50"/>
  <c r="M60" i="50"/>
  <c r="M61" i="50"/>
  <c r="M62" i="50"/>
  <c r="M63" i="50"/>
  <c r="M64" i="50"/>
  <c r="M65" i="50"/>
  <c r="M66" i="50"/>
  <c r="M67" i="50"/>
  <c r="M68" i="50"/>
  <c r="M69" i="50"/>
  <c r="M70" i="50"/>
  <c r="M71" i="50"/>
  <c r="M72" i="50"/>
  <c r="M73" i="50"/>
  <c r="M74" i="50"/>
  <c r="M75" i="50"/>
  <c r="M76" i="50"/>
  <c r="M77" i="50"/>
  <c r="M78" i="50"/>
  <c r="M79" i="50"/>
  <c r="M80" i="50"/>
  <c r="M81" i="50"/>
  <c r="M82" i="50"/>
  <c r="M83" i="50"/>
  <c r="M84" i="50"/>
  <c r="M85" i="50"/>
  <c r="M86" i="50"/>
  <c r="M87" i="50"/>
  <c r="M88" i="50"/>
  <c r="M89" i="50"/>
  <c r="M90" i="50"/>
  <c r="M91" i="50"/>
  <c r="M92" i="50"/>
  <c r="M93" i="50"/>
  <c r="M94" i="50"/>
  <c r="M95" i="50"/>
  <c r="M96" i="50"/>
  <c r="M97" i="50"/>
  <c r="M98" i="50"/>
  <c r="M99" i="50"/>
  <c r="M100" i="50"/>
  <c r="M101" i="50"/>
  <c r="M102" i="50"/>
  <c r="M103" i="50"/>
  <c r="M104" i="50"/>
  <c r="M105" i="50"/>
  <c r="M106" i="50"/>
  <c r="M107" i="50"/>
  <c r="M108" i="50"/>
  <c r="M109" i="50"/>
  <c r="M110" i="50"/>
  <c r="M111" i="50"/>
  <c r="M112" i="50"/>
  <c r="M113" i="50"/>
  <c r="M114" i="50"/>
  <c r="M115" i="50"/>
  <c r="M116" i="50"/>
  <c r="K10" i="50"/>
  <c r="K11" i="50"/>
  <c r="K12" i="50"/>
  <c r="K13" i="50"/>
  <c r="K14" i="50"/>
  <c r="K15" i="50"/>
  <c r="K16" i="50"/>
  <c r="K17" i="50"/>
  <c r="K18" i="50"/>
  <c r="K19" i="50"/>
  <c r="K20" i="50"/>
  <c r="K21" i="50"/>
  <c r="K22" i="50"/>
  <c r="K23" i="50"/>
  <c r="K24" i="50"/>
  <c r="K25" i="50"/>
  <c r="K26" i="50"/>
  <c r="K27" i="50"/>
  <c r="K28" i="50"/>
  <c r="K29" i="50"/>
  <c r="K30" i="50"/>
  <c r="K31" i="50"/>
  <c r="K32" i="50"/>
  <c r="K33" i="50"/>
  <c r="K34" i="50"/>
  <c r="K35" i="50"/>
  <c r="K36" i="50"/>
  <c r="K37" i="50"/>
  <c r="K38" i="50"/>
  <c r="K39" i="50"/>
  <c r="K40" i="50"/>
  <c r="K41" i="50"/>
  <c r="K42" i="50"/>
  <c r="K43" i="50"/>
  <c r="K44" i="50"/>
  <c r="K45" i="50"/>
  <c r="K46" i="50"/>
  <c r="K47" i="50"/>
  <c r="K48" i="50"/>
  <c r="K49" i="50"/>
  <c r="K50" i="50"/>
  <c r="K51" i="50"/>
  <c r="K52" i="50"/>
  <c r="K53" i="50"/>
  <c r="K54" i="50"/>
  <c r="K55" i="50"/>
  <c r="K56" i="50"/>
  <c r="K57" i="50"/>
  <c r="K58" i="50"/>
  <c r="K59" i="50"/>
  <c r="K60" i="50"/>
  <c r="K61" i="50"/>
  <c r="K62" i="50"/>
  <c r="K63" i="50"/>
  <c r="K64" i="50"/>
  <c r="K65" i="50"/>
  <c r="K66" i="50"/>
  <c r="K67" i="50"/>
  <c r="K68" i="50"/>
  <c r="K69" i="50"/>
  <c r="K70" i="50"/>
  <c r="K71" i="50"/>
  <c r="K72" i="50"/>
  <c r="K73" i="50"/>
  <c r="K74" i="50"/>
  <c r="K75" i="50"/>
  <c r="K76" i="50"/>
  <c r="K77" i="50"/>
  <c r="K78" i="50"/>
  <c r="K79" i="50"/>
  <c r="K80" i="50"/>
  <c r="K81" i="50"/>
  <c r="K82" i="50"/>
  <c r="K83" i="50"/>
  <c r="K84" i="50"/>
  <c r="K85" i="50"/>
  <c r="K86" i="50"/>
  <c r="K87" i="50"/>
  <c r="K88" i="50"/>
  <c r="K89" i="50"/>
  <c r="K90" i="50"/>
  <c r="K91" i="50"/>
  <c r="K92" i="50"/>
  <c r="K93" i="50"/>
  <c r="K94" i="50"/>
  <c r="K95" i="50"/>
  <c r="K96" i="50"/>
  <c r="K97" i="50"/>
  <c r="K98" i="50"/>
  <c r="K99" i="50"/>
  <c r="K100" i="50"/>
  <c r="K101" i="50"/>
  <c r="K102" i="50"/>
  <c r="K103" i="50"/>
  <c r="K104" i="50"/>
  <c r="K105" i="50"/>
  <c r="K106" i="50"/>
  <c r="K107" i="50"/>
  <c r="K108" i="50"/>
  <c r="K109" i="50"/>
  <c r="K110" i="50"/>
  <c r="K111" i="50"/>
  <c r="K112" i="50"/>
  <c r="K113" i="50"/>
  <c r="K114" i="50"/>
  <c r="K115" i="50"/>
  <c r="K116" i="50"/>
  <c r="F846" i="60"/>
  <c r="F845" i="60"/>
  <c r="F844" i="60"/>
  <c r="F843" i="60"/>
  <c r="F842" i="60"/>
  <c r="F841" i="60"/>
  <c r="F840" i="60"/>
  <c r="F839" i="60"/>
  <c r="F838" i="60"/>
  <c r="G838" i="60" s="1"/>
  <c r="E838" i="60"/>
  <c r="F837" i="60"/>
  <c r="F836" i="60"/>
  <c r="F835" i="60"/>
  <c r="F834" i="60"/>
  <c r="F833" i="60"/>
  <c r="F832" i="60"/>
  <c r="F831" i="60"/>
  <c r="F830" i="60"/>
  <c r="F829" i="60"/>
  <c r="F828" i="60"/>
  <c r="F827" i="60"/>
  <c r="F826" i="60"/>
  <c r="F825" i="60"/>
  <c r="F824" i="60"/>
  <c r="F823" i="60"/>
  <c r="F822" i="60"/>
  <c r="F821" i="60"/>
  <c r="F820" i="60"/>
  <c r="F819" i="60"/>
  <c r="F818" i="60"/>
  <c r="F817" i="60"/>
  <c r="F816" i="60"/>
  <c r="F815" i="60"/>
  <c r="F814" i="60"/>
  <c r="F813" i="60"/>
  <c r="F812" i="60"/>
  <c r="F811" i="60"/>
  <c r="F810" i="60"/>
  <c r="F809" i="60"/>
  <c r="F808" i="60"/>
  <c r="F807" i="60"/>
  <c r="F806" i="60"/>
  <c r="F805" i="60"/>
  <c r="F804" i="60"/>
  <c r="F803" i="60"/>
  <c r="F802" i="60"/>
  <c r="F801" i="60"/>
  <c r="F800" i="60"/>
  <c r="F799" i="60"/>
  <c r="F798" i="60"/>
  <c r="F797" i="60"/>
  <c r="F796" i="60"/>
  <c r="F795" i="60"/>
  <c r="F794" i="60"/>
  <c r="F793" i="60"/>
  <c r="F792" i="60"/>
  <c r="F791" i="60"/>
  <c r="F790" i="60"/>
  <c r="F789" i="60"/>
  <c r="F788" i="60"/>
  <c r="F787" i="60"/>
  <c r="F786" i="60"/>
  <c r="F785" i="60"/>
  <c r="F784" i="60"/>
  <c r="F783" i="60"/>
  <c r="F782" i="60"/>
  <c r="F781" i="60"/>
  <c r="F780" i="60"/>
  <c r="F779" i="60"/>
  <c r="F778" i="60"/>
  <c r="F777" i="60"/>
  <c r="F776" i="60"/>
  <c r="F775" i="60"/>
  <c r="F774" i="60"/>
  <c r="F773" i="60"/>
  <c r="F772" i="60"/>
  <c r="F771" i="60"/>
  <c r="F770" i="60"/>
  <c r="F769" i="60"/>
  <c r="F768" i="60"/>
  <c r="F767" i="60"/>
  <c r="F766" i="60"/>
  <c r="F765" i="60"/>
  <c r="F764" i="60"/>
  <c r="F763" i="60"/>
  <c r="F762" i="60"/>
  <c r="F761" i="60"/>
  <c r="F760" i="60"/>
  <c r="F759" i="60"/>
  <c r="F758" i="60"/>
  <c r="F757" i="60"/>
  <c r="F756" i="60"/>
  <c r="F755" i="60"/>
  <c r="F754" i="60"/>
  <c r="F753" i="60"/>
  <c r="F752" i="60"/>
  <c r="F751" i="60"/>
  <c r="F750" i="60"/>
  <c r="F749" i="60"/>
  <c r="F748" i="60"/>
  <c r="F747" i="60"/>
  <c r="F746" i="60"/>
  <c r="F745" i="60"/>
  <c r="F744" i="60"/>
  <c r="F743" i="60"/>
  <c r="F742" i="60"/>
  <c r="F741" i="60"/>
  <c r="F740" i="60"/>
  <c r="F739" i="60"/>
  <c r="F738" i="60"/>
  <c r="F737" i="60"/>
  <c r="F736" i="60"/>
  <c r="F735" i="60"/>
  <c r="F734" i="60"/>
  <c r="F733" i="60"/>
  <c r="F732" i="60"/>
  <c r="F731" i="60"/>
  <c r="F730" i="60"/>
  <c r="F729" i="60"/>
  <c r="F728" i="60"/>
  <c r="F727" i="60"/>
  <c r="F726" i="60"/>
  <c r="F725" i="60"/>
  <c r="F724" i="60"/>
  <c r="F723" i="60"/>
  <c r="F722" i="60"/>
  <c r="F721" i="60"/>
  <c r="F720" i="60"/>
  <c r="F719" i="60"/>
  <c r="F718" i="60"/>
  <c r="F717" i="60"/>
  <c r="F716" i="60"/>
  <c r="F715" i="60"/>
  <c r="F714" i="60"/>
  <c r="F713" i="60"/>
  <c r="F712" i="60"/>
  <c r="F711" i="60"/>
  <c r="F710" i="60"/>
  <c r="F709" i="60"/>
  <c r="F708" i="60"/>
  <c r="F707" i="60"/>
  <c r="F706" i="60"/>
  <c r="F705" i="60"/>
  <c r="F704" i="60"/>
  <c r="F703" i="60"/>
  <c r="E703" i="60"/>
  <c r="G703" i="60" s="1"/>
  <c r="F702" i="60"/>
  <c r="G702" i="60" s="1"/>
  <c r="E702" i="60"/>
  <c r="F701" i="60"/>
  <c r="G701" i="60" s="1"/>
  <c r="E701" i="60"/>
  <c r="F700" i="60"/>
  <c r="G700" i="60" s="1"/>
  <c r="E700" i="60"/>
  <c r="F699" i="60"/>
  <c r="G699" i="60" s="1"/>
  <c r="E699" i="60"/>
  <c r="F698" i="60"/>
  <c r="G698" i="60" s="1"/>
  <c r="E698" i="60"/>
  <c r="G697" i="60"/>
  <c r="F697" i="60"/>
  <c r="E697" i="60"/>
  <c r="G696" i="60"/>
  <c r="F696" i="60"/>
  <c r="E696" i="60"/>
  <c r="F695" i="60"/>
  <c r="E695" i="60"/>
  <c r="G695" i="60" s="1"/>
  <c r="F694" i="60"/>
  <c r="E694" i="60"/>
  <c r="G693" i="60"/>
  <c r="F693" i="60"/>
  <c r="E693" i="60"/>
  <c r="F692" i="60"/>
  <c r="E692" i="60"/>
  <c r="F691" i="60"/>
  <c r="G691" i="60" s="1"/>
  <c r="E691" i="60"/>
  <c r="G690" i="60"/>
  <c r="F690" i="60"/>
  <c r="E690" i="60"/>
  <c r="F689" i="60"/>
  <c r="G689" i="60" s="1"/>
  <c r="E689" i="60"/>
  <c r="F688" i="60"/>
  <c r="G688" i="60" s="1"/>
  <c r="E688" i="60"/>
  <c r="G687" i="60"/>
  <c r="F687" i="60"/>
  <c r="E687" i="60"/>
  <c r="G686" i="60"/>
  <c r="F686" i="60"/>
  <c r="E686" i="60"/>
  <c r="G685" i="60"/>
  <c r="F685" i="60"/>
  <c r="E685" i="60"/>
  <c r="F684" i="60"/>
  <c r="G684" i="60" s="1"/>
  <c r="E684" i="60"/>
  <c r="G683" i="60"/>
  <c r="F683" i="60"/>
  <c r="E683" i="60"/>
  <c r="G682" i="60"/>
  <c r="F682" i="60"/>
  <c r="E682" i="60"/>
  <c r="F681" i="60"/>
  <c r="E681" i="60"/>
  <c r="G681" i="60" s="1"/>
  <c r="F680" i="60"/>
  <c r="G680" i="60" s="1"/>
  <c r="E680" i="60"/>
  <c r="G679" i="60"/>
  <c r="F679" i="60"/>
  <c r="E679" i="60"/>
  <c r="F678" i="60"/>
  <c r="G678" i="60" s="1"/>
  <c r="E678" i="60"/>
  <c r="F677" i="60"/>
  <c r="G677" i="60" s="1"/>
  <c r="E677" i="60"/>
  <c r="F676" i="60"/>
  <c r="E676" i="60"/>
  <c r="F675" i="60"/>
  <c r="G675" i="60" s="1"/>
  <c r="E675" i="60"/>
  <c r="F674" i="60"/>
  <c r="G674" i="60" s="1"/>
  <c r="E674" i="60"/>
  <c r="F673" i="60"/>
  <c r="G673" i="60" s="1"/>
  <c r="E673" i="60"/>
  <c r="G672" i="60"/>
  <c r="F672" i="60"/>
  <c r="E672" i="60"/>
  <c r="G671" i="60"/>
  <c r="F671" i="60"/>
  <c r="E671" i="60"/>
  <c r="F670" i="60"/>
  <c r="E670" i="60"/>
  <c r="G670" i="60" s="1"/>
  <c r="F669" i="60"/>
  <c r="E669" i="60"/>
  <c r="F668" i="60"/>
  <c r="G668" i="60" s="1"/>
  <c r="E668" i="60"/>
  <c r="F667" i="60"/>
  <c r="E667" i="60"/>
  <c r="G667" i="60" s="1"/>
  <c r="F666" i="60"/>
  <c r="G666" i="60" s="1"/>
  <c r="E666" i="60"/>
  <c r="G665" i="60"/>
  <c r="F665" i="60"/>
  <c r="E665" i="60"/>
  <c r="F664" i="60"/>
  <c r="G664" i="60" s="1"/>
  <c r="E664" i="60"/>
  <c r="F663" i="60"/>
  <c r="E663" i="60"/>
  <c r="G663" i="60" s="1"/>
  <c r="F662" i="60"/>
  <c r="G662" i="60" s="1"/>
  <c r="E662" i="60"/>
  <c r="G661" i="60"/>
  <c r="F661" i="60"/>
  <c r="E661" i="60"/>
  <c r="F660" i="60"/>
  <c r="G660" i="60" s="1"/>
  <c r="E660" i="60"/>
  <c r="F659" i="60"/>
  <c r="G659" i="60" s="1"/>
  <c r="E659" i="60"/>
  <c r="F658" i="60"/>
  <c r="F657" i="60"/>
  <c r="F656" i="60"/>
  <c r="F655" i="60"/>
  <c r="F654" i="60"/>
  <c r="F653" i="60"/>
  <c r="F652" i="60"/>
  <c r="F651" i="60"/>
  <c r="F650" i="60"/>
  <c r="F649" i="60"/>
  <c r="F648" i="60"/>
  <c r="F647" i="60"/>
  <c r="E647" i="60"/>
  <c r="G647" i="60" s="1"/>
  <c r="F646" i="60"/>
  <c r="E646" i="60"/>
  <c r="G645" i="60"/>
  <c r="F645" i="60"/>
  <c r="E645" i="60"/>
  <c r="F644" i="60"/>
  <c r="E644" i="60"/>
  <c r="F643" i="60"/>
  <c r="G643" i="60" s="1"/>
  <c r="E643" i="60"/>
  <c r="G642" i="60"/>
  <c r="F642" i="60"/>
  <c r="E642" i="60"/>
  <c r="F641" i="60"/>
  <c r="G641" i="60" s="1"/>
  <c r="E641" i="60"/>
  <c r="F640" i="60"/>
  <c r="G640" i="60" s="1"/>
  <c r="E640" i="60"/>
  <c r="F639" i="60"/>
  <c r="F638" i="60"/>
  <c r="F637" i="60"/>
  <c r="F636" i="60"/>
  <c r="F635" i="60"/>
  <c r="F634" i="60"/>
  <c r="F633" i="60"/>
  <c r="F632" i="60"/>
  <c r="F631" i="60"/>
  <c r="F630" i="60"/>
  <c r="F629" i="60"/>
  <c r="F628" i="60"/>
  <c r="F627" i="60"/>
  <c r="F626" i="60"/>
  <c r="F625" i="60"/>
  <c r="F624" i="60"/>
  <c r="F623" i="60"/>
  <c r="F622" i="60"/>
  <c r="F621" i="60"/>
  <c r="F620" i="60"/>
  <c r="F619" i="60"/>
  <c r="F618" i="60"/>
  <c r="F617" i="60"/>
  <c r="F616" i="60"/>
  <c r="F615" i="60"/>
  <c r="F614" i="60"/>
  <c r="F613" i="60"/>
  <c r="F612" i="60"/>
  <c r="F611" i="60"/>
  <c r="F610" i="60"/>
  <c r="F609" i="60"/>
  <c r="F608" i="60"/>
  <c r="F607" i="60"/>
  <c r="F606" i="60"/>
  <c r="F605" i="60"/>
  <c r="F604" i="60"/>
  <c r="F603" i="60"/>
  <c r="F602" i="60"/>
  <c r="F601" i="60"/>
  <c r="F600" i="60"/>
  <c r="F599" i="60"/>
  <c r="F598" i="60"/>
  <c r="F597" i="60"/>
  <c r="F596" i="60"/>
  <c r="F595" i="60"/>
  <c r="F594" i="60"/>
  <c r="F593" i="60"/>
  <c r="F592" i="60"/>
  <c r="F591" i="60"/>
  <c r="F590" i="60"/>
  <c r="F589" i="60"/>
  <c r="F588" i="60"/>
  <c r="F587" i="60"/>
  <c r="F586" i="60"/>
  <c r="F585" i="60"/>
  <c r="F584" i="60"/>
  <c r="F583" i="60"/>
  <c r="F582" i="60"/>
  <c r="F581" i="60"/>
  <c r="F580" i="60"/>
  <c r="F579" i="60"/>
  <c r="F578" i="60"/>
  <c r="F577" i="60"/>
  <c r="F576" i="60"/>
  <c r="F575" i="60"/>
  <c r="F574" i="60"/>
  <c r="F573" i="60"/>
  <c r="F572" i="60"/>
  <c r="F571" i="60"/>
  <c r="F570" i="60"/>
  <c r="F569" i="60"/>
  <c r="F568" i="60"/>
  <c r="F567" i="60"/>
  <c r="F566" i="60"/>
  <c r="F565" i="60"/>
  <c r="F564" i="60"/>
  <c r="F563" i="60"/>
  <c r="F562" i="60"/>
  <c r="F561" i="60"/>
  <c r="F560" i="60"/>
  <c r="F559" i="60"/>
  <c r="F558" i="60"/>
  <c r="F557" i="60"/>
  <c r="F556" i="60"/>
  <c r="F555" i="60"/>
  <c r="F554" i="60"/>
  <c r="F553" i="60"/>
  <c r="F552" i="60"/>
  <c r="F551" i="60"/>
  <c r="F550" i="60"/>
  <c r="F549" i="60"/>
  <c r="F548" i="60"/>
  <c r="F547" i="60"/>
  <c r="F546" i="60"/>
  <c r="F545" i="60"/>
  <c r="F544" i="60"/>
  <c r="F543" i="60"/>
  <c r="F542" i="60"/>
  <c r="F541" i="60"/>
  <c r="F540" i="60"/>
  <c r="F539" i="60"/>
  <c r="F538" i="60"/>
  <c r="F537" i="60"/>
  <c r="F536" i="60"/>
  <c r="F535" i="60"/>
  <c r="F534" i="60"/>
  <c r="F533" i="60"/>
  <c r="F532" i="60"/>
  <c r="F531" i="60"/>
  <c r="F530" i="60"/>
  <c r="F529" i="60"/>
  <c r="F528" i="60"/>
  <c r="F527" i="60"/>
  <c r="F526" i="60"/>
  <c r="F525" i="60"/>
  <c r="F524" i="60"/>
  <c r="F523" i="60"/>
  <c r="F522" i="60"/>
  <c r="F521" i="60"/>
  <c r="F520" i="60"/>
  <c r="F519" i="60"/>
  <c r="F518" i="60"/>
  <c r="F517" i="60"/>
  <c r="F516" i="60"/>
  <c r="F515" i="60"/>
  <c r="F514" i="60"/>
  <c r="F513" i="60"/>
  <c r="F512" i="60"/>
  <c r="F511" i="60"/>
  <c r="F510" i="60"/>
  <c r="F509" i="60"/>
  <c r="F508" i="60"/>
  <c r="F507" i="60"/>
  <c r="F506" i="60"/>
  <c r="F505" i="60"/>
  <c r="F504" i="60"/>
  <c r="F503" i="60"/>
  <c r="F502" i="60"/>
  <c r="F501" i="60"/>
  <c r="F500" i="60"/>
  <c r="F499" i="60"/>
  <c r="F498" i="60"/>
  <c r="F497" i="60"/>
  <c r="F496" i="60"/>
  <c r="F495" i="60"/>
  <c r="F494" i="60"/>
  <c r="F493" i="60"/>
  <c r="F492" i="60"/>
  <c r="F491" i="60"/>
  <c r="F490" i="60"/>
  <c r="F489" i="60"/>
  <c r="F488" i="60"/>
  <c r="F487" i="60"/>
  <c r="F486" i="60"/>
  <c r="F485" i="60"/>
  <c r="F484" i="60"/>
  <c r="F483" i="60"/>
  <c r="F482" i="60"/>
  <c r="G482" i="60" s="1"/>
  <c r="E482" i="60"/>
  <c r="G481" i="60"/>
  <c r="F481" i="60"/>
  <c r="E481" i="60"/>
  <c r="F480" i="60"/>
  <c r="G480" i="60" s="1"/>
  <c r="E480" i="60"/>
  <c r="F479" i="60"/>
  <c r="F478" i="60"/>
  <c r="F477" i="60"/>
  <c r="F476" i="60"/>
  <c r="F475" i="60"/>
  <c r="F474" i="60"/>
  <c r="F473" i="60"/>
  <c r="F472" i="60"/>
  <c r="F471" i="60"/>
  <c r="F470" i="60"/>
  <c r="F469" i="60"/>
  <c r="F468" i="60"/>
  <c r="F467" i="60"/>
  <c r="F466" i="60"/>
  <c r="F465" i="60"/>
  <c r="F464" i="60"/>
  <c r="F463" i="60"/>
  <c r="F462" i="60"/>
  <c r="F461" i="60"/>
  <c r="F460" i="60"/>
  <c r="F459" i="60"/>
  <c r="F458" i="60"/>
  <c r="F457" i="60"/>
  <c r="F456" i="60"/>
  <c r="F455" i="60"/>
  <c r="F454" i="60"/>
  <c r="F453" i="60"/>
  <c r="F452" i="60"/>
  <c r="F451" i="60"/>
  <c r="F450" i="60"/>
  <c r="F449" i="60"/>
  <c r="F448" i="60"/>
  <c r="F447" i="60"/>
  <c r="F446" i="60"/>
  <c r="F445" i="60"/>
  <c r="F444" i="60"/>
  <c r="F443" i="60"/>
  <c r="F442" i="60"/>
  <c r="F441" i="60"/>
  <c r="F440" i="60"/>
  <c r="F439" i="60"/>
  <c r="F438" i="60"/>
  <c r="F437" i="60"/>
  <c r="F436" i="60"/>
  <c r="F435" i="60"/>
  <c r="F434" i="60"/>
  <c r="F433" i="60"/>
  <c r="F432" i="60"/>
  <c r="F431" i="60"/>
  <c r="F430" i="60"/>
  <c r="F429" i="60"/>
  <c r="F428" i="60"/>
  <c r="F427" i="60"/>
  <c r="F426" i="60"/>
  <c r="F425" i="60"/>
  <c r="F424" i="60"/>
  <c r="F423" i="60"/>
  <c r="F422" i="60"/>
  <c r="F421" i="60"/>
  <c r="F420" i="60"/>
  <c r="F419" i="60"/>
  <c r="F418" i="60"/>
  <c r="F417" i="60"/>
  <c r="F416" i="60"/>
  <c r="F415" i="60"/>
  <c r="F414" i="60"/>
  <c r="F413" i="60"/>
  <c r="F412" i="60"/>
  <c r="F411" i="60"/>
  <c r="F410" i="60"/>
  <c r="F409" i="60"/>
  <c r="F408" i="60"/>
  <c r="F407" i="60"/>
  <c r="F406" i="60"/>
  <c r="F405" i="60"/>
  <c r="F404" i="60"/>
  <c r="F403" i="60"/>
  <c r="F402" i="60"/>
  <c r="F401" i="60"/>
  <c r="F400" i="60"/>
  <c r="F399" i="60"/>
  <c r="F398" i="60"/>
  <c r="F397" i="60"/>
  <c r="F396" i="60"/>
  <c r="F395" i="60"/>
  <c r="F394" i="60"/>
  <c r="F393" i="60"/>
  <c r="F392" i="60"/>
  <c r="F391" i="60"/>
  <c r="F390" i="60"/>
  <c r="F389" i="60"/>
  <c r="F388" i="60"/>
  <c r="F387" i="60"/>
  <c r="F386" i="60"/>
  <c r="F385" i="60"/>
  <c r="F384" i="60"/>
  <c r="F383" i="60"/>
  <c r="F382" i="60"/>
  <c r="F381" i="60"/>
  <c r="F380" i="60"/>
  <c r="F379" i="60"/>
  <c r="F378" i="60"/>
  <c r="F377" i="60"/>
  <c r="F376" i="60"/>
  <c r="F375" i="60"/>
  <c r="F374" i="60"/>
  <c r="F373" i="60"/>
  <c r="F372" i="60"/>
  <c r="F371" i="60"/>
  <c r="F370" i="60"/>
  <c r="F369" i="60"/>
  <c r="F368" i="60"/>
  <c r="F367" i="60"/>
  <c r="F366" i="60"/>
  <c r="F365" i="60"/>
  <c r="F364" i="60"/>
  <c r="F363" i="60"/>
  <c r="F362" i="60"/>
  <c r="F361" i="60"/>
  <c r="F360" i="60"/>
  <c r="F359" i="60"/>
  <c r="F358" i="60"/>
  <c r="F357" i="60"/>
  <c r="F356" i="60"/>
  <c r="F355" i="60"/>
  <c r="F354" i="60"/>
  <c r="F353" i="60"/>
  <c r="F352" i="60"/>
  <c r="F351" i="60"/>
  <c r="F350" i="60"/>
  <c r="F349" i="60"/>
  <c r="F348" i="60"/>
  <c r="F347" i="60"/>
  <c r="G346" i="60"/>
  <c r="F346" i="60"/>
  <c r="E346" i="60"/>
  <c r="F345" i="60"/>
  <c r="F344" i="60"/>
  <c r="F343" i="60"/>
  <c r="F342" i="60"/>
  <c r="F341" i="60"/>
  <c r="F340" i="60"/>
  <c r="F339" i="60"/>
  <c r="F338" i="60"/>
  <c r="F337" i="60"/>
  <c r="F336" i="60"/>
  <c r="F335" i="60"/>
  <c r="F334" i="60"/>
  <c r="F333" i="60"/>
  <c r="F332" i="60"/>
  <c r="F331" i="60"/>
  <c r="F330" i="60"/>
  <c r="F329" i="60"/>
  <c r="F328" i="60"/>
  <c r="F327" i="60"/>
  <c r="F326" i="60"/>
  <c r="F325" i="60"/>
  <c r="F324" i="60"/>
  <c r="F323" i="60"/>
  <c r="F322" i="60"/>
  <c r="F321" i="60"/>
  <c r="F320" i="60"/>
  <c r="F319" i="60"/>
  <c r="F318" i="60"/>
  <c r="F317" i="60"/>
  <c r="F316" i="60"/>
  <c r="F315" i="60"/>
  <c r="F314" i="60"/>
  <c r="F313" i="60"/>
  <c r="F312" i="60"/>
  <c r="F311" i="60"/>
  <c r="F310" i="60"/>
  <c r="F309" i="60"/>
  <c r="F308" i="60"/>
  <c r="F307" i="60"/>
  <c r="F306" i="60"/>
  <c r="F305" i="60"/>
  <c r="F304" i="60"/>
  <c r="F303" i="60"/>
  <c r="F302" i="60"/>
  <c r="F301" i="60"/>
  <c r="F300" i="60"/>
  <c r="F299" i="60"/>
  <c r="F298" i="60"/>
  <c r="F297" i="60"/>
  <c r="F296" i="60"/>
  <c r="F295" i="60"/>
  <c r="F294" i="60"/>
  <c r="F293" i="60"/>
  <c r="F292" i="60"/>
  <c r="F291" i="60"/>
  <c r="F290" i="60"/>
  <c r="F289" i="60"/>
  <c r="F288" i="60"/>
  <c r="F287" i="60"/>
  <c r="F286" i="60"/>
  <c r="F285" i="60"/>
  <c r="F284" i="60"/>
  <c r="F283" i="60"/>
  <c r="F282" i="60"/>
  <c r="F281" i="60"/>
  <c r="F280" i="60"/>
  <c r="F279" i="60"/>
  <c r="F278" i="60"/>
  <c r="F277" i="60"/>
  <c r="F276" i="60"/>
  <c r="F275" i="60"/>
  <c r="F274" i="60"/>
  <c r="F273" i="60"/>
  <c r="F272" i="60"/>
  <c r="F271" i="60"/>
  <c r="F270" i="60"/>
  <c r="F269" i="60"/>
  <c r="F268" i="60"/>
  <c r="F267" i="60"/>
  <c r="F266" i="60"/>
  <c r="F265" i="60"/>
  <c r="F264" i="60"/>
  <c r="F263" i="60"/>
  <c r="F262" i="60"/>
  <c r="F261" i="60"/>
  <c r="F260" i="60"/>
  <c r="F259" i="60"/>
  <c r="F258" i="60"/>
  <c r="F257" i="60"/>
  <c r="F256" i="60"/>
  <c r="F255" i="60"/>
  <c r="F254" i="60"/>
  <c r="F253" i="60"/>
  <c r="F252" i="60"/>
  <c r="F251" i="60"/>
  <c r="F250" i="60"/>
  <c r="F249" i="60"/>
  <c r="F248" i="60"/>
  <c r="F247" i="60"/>
  <c r="F246" i="60"/>
  <c r="F245" i="60"/>
  <c r="F244" i="60"/>
  <c r="F243" i="60"/>
  <c r="F242" i="60"/>
  <c r="F241" i="60"/>
  <c r="F240" i="60"/>
  <c r="F239" i="60"/>
  <c r="F238" i="60"/>
  <c r="F237" i="60"/>
  <c r="F236" i="60"/>
  <c r="G236" i="60" s="1"/>
  <c r="E236" i="60"/>
  <c r="F235" i="60"/>
  <c r="F234" i="60"/>
  <c r="F233" i="60"/>
  <c r="F232" i="60"/>
  <c r="F231" i="60"/>
  <c r="F230" i="60"/>
  <c r="F229" i="60"/>
  <c r="F228" i="60"/>
  <c r="F227" i="60"/>
  <c r="E227" i="60"/>
  <c r="G227" i="60" s="1"/>
  <c r="G226" i="60"/>
  <c r="F226" i="60"/>
  <c r="E226" i="60"/>
  <c r="F225" i="60"/>
  <c r="F224" i="60"/>
  <c r="F223" i="60"/>
  <c r="F222" i="60"/>
  <c r="F221" i="60"/>
  <c r="F220" i="60"/>
  <c r="F219" i="60"/>
  <c r="F218" i="60"/>
  <c r="F217" i="60"/>
  <c r="F216" i="60"/>
  <c r="F215" i="60"/>
  <c r="F214" i="60"/>
  <c r="F213" i="60"/>
  <c r="F212" i="60"/>
  <c r="F211" i="60"/>
  <c r="F210" i="60"/>
  <c r="F209" i="60"/>
  <c r="F208" i="60"/>
  <c r="F207" i="60"/>
  <c r="F206" i="60"/>
  <c r="G205" i="60"/>
  <c r="F205" i="60"/>
  <c r="E205" i="60"/>
  <c r="F204" i="60"/>
  <c r="G204" i="60" s="1"/>
  <c r="E204" i="60"/>
  <c r="F203" i="60"/>
  <c r="F202" i="60"/>
  <c r="F201" i="60"/>
  <c r="F200" i="60"/>
  <c r="F199" i="60"/>
  <c r="F198" i="60"/>
  <c r="F197" i="60"/>
  <c r="F196" i="60"/>
  <c r="F195" i="60"/>
  <c r="F194" i="60"/>
  <c r="F193" i="60"/>
  <c r="F192" i="60"/>
  <c r="F191" i="60"/>
  <c r="F190" i="60"/>
  <c r="F189" i="60"/>
  <c r="F188" i="60"/>
  <c r="F187" i="60"/>
  <c r="F186" i="60"/>
  <c r="F185" i="60"/>
  <c r="F184" i="60"/>
  <c r="F183" i="60"/>
  <c r="F182" i="60"/>
  <c r="F181" i="60"/>
  <c r="F180" i="60"/>
  <c r="F179" i="60"/>
  <c r="F178" i="60"/>
  <c r="F177" i="60"/>
  <c r="F176" i="60"/>
  <c r="F175" i="60"/>
  <c r="F174" i="60"/>
  <c r="F173" i="60"/>
  <c r="F172" i="60"/>
  <c r="F171" i="60"/>
  <c r="F170" i="60"/>
  <c r="F169" i="60"/>
  <c r="F168" i="60"/>
  <c r="F167" i="60"/>
  <c r="F166" i="60"/>
  <c r="F165" i="60"/>
  <c r="F164" i="60"/>
  <c r="F163" i="60"/>
  <c r="F162" i="60"/>
  <c r="F161" i="60"/>
  <c r="F160" i="60"/>
  <c r="F159" i="60"/>
  <c r="F158" i="60"/>
  <c r="F157" i="60"/>
  <c r="F156" i="60"/>
  <c r="F155" i="60"/>
  <c r="F154" i="60"/>
  <c r="F153" i="60"/>
  <c r="F152" i="60"/>
  <c r="F151" i="60"/>
  <c r="F150" i="60"/>
  <c r="F149" i="60"/>
  <c r="F148" i="60"/>
  <c r="F147" i="60"/>
  <c r="F146" i="60"/>
  <c r="F145" i="60"/>
  <c r="F144" i="60"/>
  <c r="F143" i="60"/>
  <c r="F142" i="60"/>
  <c r="F141" i="60"/>
  <c r="F140" i="60"/>
  <c r="F139" i="60"/>
  <c r="F138" i="60"/>
  <c r="F137" i="60"/>
  <c r="F136" i="60"/>
  <c r="F135" i="60"/>
  <c r="F134" i="60"/>
  <c r="F133" i="60"/>
  <c r="F132" i="60"/>
  <c r="F131" i="60"/>
  <c r="F130" i="60"/>
  <c r="F129" i="60"/>
  <c r="F128" i="60"/>
  <c r="F127" i="60"/>
  <c r="F126" i="60"/>
  <c r="F125" i="60"/>
  <c r="F124" i="60"/>
  <c r="F123" i="60"/>
  <c r="F122" i="60"/>
  <c r="F121" i="60"/>
  <c r="F120" i="60"/>
  <c r="F119" i="60"/>
  <c r="F118" i="60"/>
  <c r="F117" i="60"/>
  <c r="F116" i="60"/>
  <c r="F115" i="60"/>
  <c r="F114" i="60"/>
  <c r="F113" i="60"/>
  <c r="F112" i="60"/>
  <c r="F111" i="60"/>
  <c r="F110" i="60"/>
  <c r="F109" i="60"/>
  <c r="F108" i="60"/>
  <c r="F107" i="60"/>
  <c r="F106" i="60"/>
  <c r="F105" i="60"/>
  <c r="F104" i="60"/>
  <c r="F103" i="60"/>
  <c r="F102" i="60"/>
  <c r="F101" i="60"/>
  <c r="F100" i="60"/>
  <c r="F99" i="60"/>
  <c r="F98" i="60"/>
  <c r="F97" i="60"/>
  <c r="F96" i="60"/>
  <c r="F95" i="60"/>
  <c r="F94" i="60"/>
  <c r="F93" i="60"/>
  <c r="F92" i="60"/>
  <c r="F91" i="60"/>
  <c r="F90" i="60"/>
  <c r="F89" i="60"/>
  <c r="F88" i="60"/>
  <c r="F87" i="60"/>
  <c r="F86" i="60"/>
  <c r="F85" i="60"/>
  <c r="F84" i="60"/>
  <c r="F83" i="60"/>
  <c r="F82" i="60"/>
  <c r="F81" i="60"/>
  <c r="F80" i="60"/>
  <c r="F79" i="60"/>
  <c r="F78" i="60"/>
  <c r="F77" i="60"/>
  <c r="F76" i="60"/>
  <c r="F75" i="60"/>
  <c r="F74" i="60"/>
  <c r="F73" i="60"/>
  <c r="F72" i="60"/>
  <c r="F71" i="60"/>
  <c r="F70" i="60"/>
  <c r="F69" i="60"/>
  <c r="F68" i="60"/>
  <c r="F67" i="60"/>
  <c r="F66" i="60"/>
  <c r="F65" i="60"/>
  <c r="F64" i="60"/>
  <c r="F63" i="60"/>
  <c r="F62" i="60"/>
  <c r="F61" i="60"/>
  <c r="F60" i="60"/>
  <c r="F59" i="60"/>
  <c r="F58" i="60"/>
  <c r="F57" i="60"/>
  <c r="O56"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2" i="60"/>
  <c r="F21" i="60"/>
  <c r="F20" i="60"/>
  <c r="F19" i="60"/>
  <c r="F18" i="60"/>
  <c r="F17" i="60"/>
  <c r="F16" i="60"/>
  <c r="F15" i="60"/>
  <c r="F14" i="60"/>
  <c r="F13" i="60"/>
  <c r="F12" i="60"/>
  <c r="F11" i="60"/>
  <c r="N10" i="60"/>
  <c r="M10" i="60"/>
  <c r="L10" i="60"/>
  <c r="K10" i="60"/>
  <c r="J10" i="60"/>
  <c r="F10" i="60"/>
  <c r="N9" i="60"/>
  <c r="M9" i="60"/>
  <c r="L9" i="60"/>
  <c r="K9" i="60"/>
  <c r="J9" i="60"/>
  <c r="F9" i="60"/>
  <c r="R41" i="60" s="1"/>
  <c r="F8" i="60"/>
  <c r="F7" i="60"/>
  <c r="F6" i="60"/>
  <c r="F5" i="60"/>
  <c r="F4" i="60"/>
  <c r="F3" i="60"/>
  <c r="N2" i="60"/>
  <c r="M2" i="60"/>
  <c r="L2" i="60"/>
  <c r="K2" i="60"/>
  <c r="J2" i="60"/>
  <c r="F2" i="60"/>
  <c r="U55" i="60" s="1"/>
  <c r="AC38" i="56"/>
  <c r="AC32" i="56"/>
  <c r="AC26" i="56"/>
  <c r="M117" i="5"/>
  <c r="M123" i="5"/>
  <c r="N123" i="5"/>
  <c r="L123" i="5"/>
  <c r="F34" i="10"/>
  <c r="F42" i="20"/>
  <c r="F378" i="5"/>
  <c r="R27" i="60" l="1"/>
  <c r="U44" i="60"/>
  <c r="O53" i="60"/>
  <c r="U17" i="60"/>
  <c r="O18" i="60"/>
  <c r="O22" i="60"/>
  <c r="R33" i="60"/>
  <c r="O100" i="60"/>
  <c r="U16" i="60"/>
  <c r="U19" i="60"/>
  <c r="T19" i="60" s="1"/>
  <c r="O20" i="60"/>
  <c r="U21" i="60"/>
  <c r="U36" i="60"/>
  <c r="R54" i="60"/>
  <c r="O17" i="60"/>
  <c r="R20" i="60"/>
  <c r="O58" i="60"/>
  <c r="R16" i="60"/>
  <c r="U18" i="60"/>
  <c r="R19" i="60"/>
  <c r="U23" i="60"/>
  <c r="U30" i="60"/>
  <c r="O38" i="60"/>
  <c r="O16" i="60"/>
  <c r="R18" i="60"/>
  <c r="O23" i="60"/>
  <c r="O96" i="60"/>
  <c r="U22" i="60"/>
  <c r="T22" i="60" s="1"/>
  <c r="O24" i="60"/>
  <c r="O46" i="60"/>
  <c r="R49" i="60"/>
  <c r="U122" i="60"/>
  <c r="T122" i="60" s="1"/>
  <c r="R119" i="60"/>
  <c r="O116" i="60"/>
  <c r="U114" i="60"/>
  <c r="T114" i="60" s="1"/>
  <c r="R111" i="60"/>
  <c r="O108" i="60"/>
  <c r="U123" i="60"/>
  <c r="R120" i="60"/>
  <c r="O117" i="60"/>
  <c r="U115" i="60"/>
  <c r="R112" i="60"/>
  <c r="O109" i="60"/>
  <c r="U107" i="60"/>
  <c r="R104" i="60"/>
  <c r="O101" i="60"/>
  <c r="U99" i="60"/>
  <c r="R121" i="60"/>
  <c r="Q121" i="60" s="1"/>
  <c r="O118" i="60"/>
  <c r="U116" i="60"/>
  <c r="R113" i="60"/>
  <c r="Q113" i="60" s="1"/>
  <c r="O110" i="60"/>
  <c r="U108" i="60"/>
  <c r="R105" i="60"/>
  <c r="O102" i="60"/>
  <c r="U100" i="60"/>
  <c r="R122" i="60"/>
  <c r="O119" i="60"/>
  <c r="U117" i="60"/>
  <c r="R114" i="60"/>
  <c r="Q114" i="60" s="1"/>
  <c r="O111" i="60"/>
  <c r="U109" i="60"/>
  <c r="R106" i="60"/>
  <c r="O103" i="60"/>
  <c r="U101" i="60"/>
  <c r="R98" i="60"/>
  <c r="R123" i="60"/>
  <c r="O120" i="60"/>
  <c r="U118" i="60"/>
  <c r="R115" i="60"/>
  <c r="O112" i="60"/>
  <c r="U110" i="60"/>
  <c r="R107" i="60"/>
  <c r="O121" i="60"/>
  <c r="U119" i="60"/>
  <c r="R116" i="60"/>
  <c r="O113" i="60"/>
  <c r="U111" i="60"/>
  <c r="R108" i="60"/>
  <c r="O105" i="60"/>
  <c r="U103" i="60"/>
  <c r="T103" i="60" s="1"/>
  <c r="R100" i="60"/>
  <c r="O97" i="60"/>
  <c r="O122" i="60"/>
  <c r="U120" i="60"/>
  <c r="R117" i="60"/>
  <c r="O114" i="60"/>
  <c r="U112" i="60"/>
  <c r="R109" i="60"/>
  <c r="O106" i="60"/>
  <c r="U104" i="60"/>
  <c r="T104" i="60" s="1"/>
  <c r="R101" i="60"/>
  <c r="O98" i="60"/>
  <c r="R97" i="60"/>
  <c r="U95" i="60"/>
  <c r="R92" i="60"/>
  <c r="O89" i="60"/>
  <c r="U87" i="60"/>
  <c r="R84" i="60"/>
  <c r="O81" i="60"/>
  <c r="U79" i="60"/>
  <c r="R76" i="60"/>
  <c r="O73" i="60"/>
  <c r="U71" i="60"/>
  <c r="T71" i="60" s="1"/>
  <c r="R68" i="60"/>
  <c r="O65" i="60"/>
  <c r="U63" i="60"/>
  <c r="O123" i="60"/>
  <c r="U102" i="60"/>
  <c r="R93" i="60"/>
  <c r="O90" i="60"/>
  <c r="U88" i="60"/>
  <c r="R85" i="60"/>
  <c r="O82" i="60"/>
  <c r="U80" i="60"/>
  <c r="T80" i="60" s="1"/>
  <c r="R77" i="60"/>
  <c r="O74" i="60"/>
  <c r="U72" i="60"/>
  <c r="R69" i="60"/>
  <c r="Q69" i="60" s="1"/>
  <c r="O66" i="60"/>
  <c r="U64" i="60"/>
  <c r="R61" i="60"/>
  <c r="U106" i="60"/>
  <c r="R102" i="60"/>
  <c r="U96" i="60"/>
  <c r="R94" i="60"/>
  <c r="O91" i="60"/>
  <c r="U89" i="60"/>
  <c r="R86" i="60"/>
  <c r="O83" i="60"/>
  <c r="U81" i="60"/>
  <c r="R78" i="60"/>
  <c r="O75" i="60"/>
  <c r="U73" i="60"/>
  <c r="R70" i="60"/>
  <c r="O67" i="60"/>
  <c r="U65" i="60"/>
  <c r="R62" i="60"/>
  <c r="R95" i="60"/>
  <c r="O92" i="60"/>
  <c r="U90" i="60"/>
  <c r="R87" i="60"/>
  <c r="O84" i="60"/>
  <c r="U82" i="60"/>
  <c r="R79" i="60"/>
  <c r="O76" i="60"/>
  <c r="U74" i="60"/>
  <c r="R71" i="60"/>
  <c r="Q71" i="60" s="1"/>
  <c r="O68" i="60"/>
  <c r="U66" i="60"/>
  <c r="T66" i="60" s="1"/>
  <c r="R63" i="60"/>
  <c r="O60" i="60"/>
  <c r="U58" i="60"/>
  <c r="T58" i="60" s="1"/>
  <c r="R55" i="60"/>
  <c r="U113" i="60"/>
  <c r="T113" i="60" s="1"/>
  <c r="R103" i="60"/>
  <c r="O93" i="60"/>
  <c r="U91" i="60"/>
  <c r="R88" i="60"/>
  <c r="O85" i="60"/>
  <c r="U83" i="60"/>
  <c r="R80" i="60"/>
  <c r="O77" i="60"/>
  <c r="U75" i="60"/>
  <c r="R72" i="60"/>
  <c r="R110" i="60"/>
  <c r="Q110" i="60" s="1"/>
  <c r="U98" i="60"/>
  <c r="R96" i="60"/>
  <c r="O94" i="60"/>
  <c r="U92" i="60"/>
  <c r="R89" i="60"/>
  <c r="O86" i="60"/>
  <c r="U84" i="60"/>
  <c r="T84" i="60" s="1"/>
  <c r="R81" i="60"/>
  <c r="O78" i="60"/>
  <c r="U76" i="60"/>
  <c r="R73" i="60"/>
  <c r="O70" i="60"/>
  <c r="U68" i="60"/>
  <c r="T68" i="60" s="1"/>
  <c r="R65" i="60"/>
  <c r="O62" i="60"/>
  <c r="U60" i="60"/>
  <c r="R57" i="60"/>
  <c r="U121" i="60"/>
  <c r="T121" i="60" s="1"/>
  <c r="O107" i="60"/>
  <c r="U105" i="60"/>
  <c r="O104" i="60"/>
  <c r="R99" i="60"/>
  <c r="U97" i="60"/>
  <c r="O95" i="60"/>
  <c r="U93" i="60"/>
  <c r="R90" i="60"/>
  <c r="O87" i="60"/>
  <c r="U85" i="60"/>
  <c r="R82" i="60"/>
  <c r="O79" i="60"/>
  <c r="U77" i="60"/>
  <c r="R74" i="60"/>
  <c r="O71" i="60"/>
  <c r="U69" i="60"/>
  <c r="R66" i="60"/>
  <c r="O63" i="60"/>
  <c r="U78" i="60"/>
  <c r="R64" i="60"/>
  <c r="U62" i="60"/>
  <c r="U61" i="60"/>
  <c r="R50" i="60"/>
  <c r="O47" i="60"/>
  <c r="U45" i="60"/>
  <c r="T45" i="60" s="1"/>
  <c r="R42" i="60"/>
  <c r="O39" i="60"/>
  <c r="U37" i="60"/>
  <c r="R34" i="60"/>
  <c r="O31" i="60"/>
  <c r="U29" i="60"/>
  <c r="R26" i="60"/>
  <c r="O115" i="60"/>
  <c r="O99" i="60"/>
  <c r="R75" i="60"/>
  <c r="O72" i="60"/>
  <c r="O64" i="60"/>
  <c r="U59" i="60"/>
  <c r="O54" i="60"/>
  <c r="R51" i="60"/>
  <c r="O48" i="60"/>
  <c r="U46" i="60"/>
  <c r="R43" i="60"/>
  <c r="O40" i="60"/>
  <c r="U38" i="60"/>
  <c r="R35" i="60"/>
  <c r="O32" i="60"/>
  <c r="U86" i="60"/>
  <c r="O69" i="60"/>
  <c r="U67" i="60"/>
  <c r="O57" i="60"/>
  <c r="U56" i="60"/>
  <c r="U53" i="60"/>
  <c r="R52" i="60"/>
  <c r="O49" i="60"/>
  <c r="U47" i="60"/>
  <c r="R44" i="60"/>
  <c r="O41" i="60"/>
  <c r="U39" i="60"/>
  <c r="T39" i="60" s="1"/>
  <c r="R36" i="60"/>
  <c r="O33" i="60"/>
  <c r="U31" i="60"/>
  <c r="R28" i="60"/>
  <c r="O25" i="60"/>
  <c r="R83" i="60"/>
  <c r="O80" i="60"/>
  <c r="R67" i="60"/>
  <c r="O61" i="60"/>
  <c r="R60" i="60"/>
  <c r="R59" i="60"/>
  <c r="O50" i="60"/>
  <c r="U48" i="60"/>
  <c r="T48" i="60" s="1"/>
  <c r="R45" i="60"/>
  <c r="O42" i="60"/>
  <c r="U40" i="60"/>
  <c r="R37" i="60"/>
  <c r="O34" i="60"/>
  <c r="U32" i="60"/>
  <c r="R29" i="60"/>
  <c r="O26" i="60"/>
  <c r="U24" i="60"/>
  <c r="R21" i="60"/>
  <c r="U94" i="60"/>
  <c r="R58" i="60"/>
  <c r="R56" i="60"/>
  <c r="O55" i="60"/>
  <c r="U54" i="60"/>
  <c r="O51" i="60"/>
  <c r="U49" i="60"/>
  <c r="R46" i="60"/>
  <c r="O43" i="60"/>
  <c r="U41" i="60"/>
  <c r="R38" i="60"/>
  <c r="Q38" i="60" s="1"/>
  <c r="O35" i="60"/>
  <c r="U33" i="60"/>
  <c r="R30" i="60"/>
  <c r="O27" i="60"/>
  <c r="U25" i="60"/>
  <c r="R22" i="60"/>
  <c r="O19" i="60"/>
  <c r="R118" i="60"/>
  <c r="R91" i="60"/>
  <c r="O88" i="60"/>
  <c r="O59" i="60"/>
  <c r="R53" i="60"/>
  <c r="O52" i="60"/>
  <c r="U50" i="60"/>
  <c r="T50" i="60" s="1"/>
  <c r="R47" i="60"/>
  <c r="O44" i="60"/>
  <c r="U42" i="60"/>
  <c r="R39" i="60"/>
  <c r="Q39" i="60" s="1"/>
  <c r="O36" i="60"/>
  <c r="U34" i="60"/>
  <c r="R31" i="60"/>
  <c r="O28" i="60"/>
  <c r="U26" i="60"/>
  <c r="U70" i="60"/>
  <c r="U57" i="60"/>
  <c r="U51" i="60"/>
  <c r="T51" i="60" s="1"/>
  <c r="R48" i="60"/>
  <c r="O45" i="60"/>
  <c r="U43" i="60"/>
  <c r="R40" i="60"/>
  <c r="O37" i="60"/>
  <c r="U35" i="60"/>
  <c r="R32" i="60"/>
  <c r="O29" i="60"/>
  <c r="U27" i="60"/>
  <c r="R24" i="60"/>
  <c r="R17" i="60"/>
  <c r="U20" i="60"/>
  <c r="O21" i="60"/>
  <c r="R23" i="60"/>
  <c r="R25" i="60"/>
  <c r="U28" i="60"/>
  <c r="O30" i="60"/>
  <c r="U52" i="60"/>
  <c r="G694" i="60"/>
  <c r="G646" i="60"/>
  <c r="G669" i="60"/>
  <c r="G644" i="60"/>
  <c r="G692" i="60"/>
  <c r="G676" i="60"/>
  <c r="F122" i="5"/>
  <c r="F123" i="5"/>
  <c r="F124" i="5"/>
  <c r="F121" i="5"/>
  <c r="F366" i="5"/>
  <c r="F359" i="5"/>
  <c r="F335" i="5"/>
  <c r="F315" i="5"/>
  <c r="F316" i="5"/>
  <c r="F303" i="5"/>
  <c r="F275" i="5"/>
  <c r="F237" i="5"/>
  <c r="F238" i="5"/>
  <c r="F208" i="5"/>
  <c r="F70" i="5"/>
  <c r="F71" i="5"/>
  <c r="F72" i="5"/>
  <c r="F47" i="5"/>
  <c r="F30" i="5"/>
  <c r="F8" i="5"/>
  <c r="F9" i="5"/>
  <c r="F10" i="5"/>
  <c r="F11" i="5"/>
  <c r="L45" i="60" l="1"/>
  <c r="L87" i="60"/>
  <c r="L96" i="60"/>
  <c r="L53" i="60"/>
  <c r="L30" i="60"/>
  <c r="L36" i="60"/>
  <c r="L59" i="60"/>
  <c r="N51" i="60"/>
  <c r="L51" i="60"/>
  <c r="L26" i="60"/>
  <c r="L25" i="60"/>
  <c r="L47" i="60"/>
  <c r="L85" i="60"/>
  <c r="L60" i="60"/>
  <c r="L67" i="60"/>
  <c r="N66" i="60"/>
  <c r="L66" i="60"/>
  <c r="N105" i="60"/>
  <c r="L105" i="60"/>
  <c r="L103" i="60"/>
  <c r="N117" i="60"/>
  <c r="L117" i="60"/>
  <c r="N48" i="60"/>
  <c r="L48" i="60"/>
  <c r="L94" i="60"/>
  <c r="L58" i="60"/>
  <c r="N29" i="60"/>
  <c r="L29" i="60"/>
  <c r="L88" i="60"/>
  <c r="N50" i="60"/>
  <c r="L50" i="60"/>
  <c r="L49" i="60"/>
  <c r="L32" i="60"/>
  <c r="L54" i="60"/>
  <c r="L71" i="60"/>
  <c r="K71" i="60" s="1"/>
  <c r="N71" i="60"/>
  <c r="L78" i="60"/>
  <c r="L84" i="60"/>
  <c r="L91" i="60"/>
  <c r="L90" i="60"/>
  <c r="L73" i="60"/>
  <c r="L114" i="60"/>
  <c r="L112" i="60"/>
  <c r="L102" i="60"/>
  <c r="L22" i="60"/>
  <c r="L89" i="60"/>
  <c r="L35" i="60"/>
  <c r="L55" i="60"/>
  <c r="L31" i="60"/>
  <c r="L95" i="60"/>
  <c r="N101" i="60"/>
  <c r="L101" i="60"/>
  <c r="L46" i="60"/>
  <c r="L17" i="60"/>
  <c r="L20" i="60"/>
  <c r="L18" i="60"/>
  <c r="L44" i="60"/>
  <c r="N34" i="60"/>
  <c r="L34" i="60"/>
  <c r="L33" i="60"/>
  <c r="L64" i="60"/>
  <c r="N62" i="60"/>
  <c r="L62" i="60"/>
  <c r="L93" i="60"/>
  <c r="L68" i="60"/>
  <c r="L75" i="60"/>
  <c r="N74" i="60"/>
  <c r="L74" i="60"/>
  <c r="L98" i="60"/>
  <c r="N98" i="60"/>
  <c r="L113" i="60"/>
  <c r="L111" i="60"/>
  <c r="L108" i="60"/>
  <c r="L23" i="60"/>
  <c r="L56" i="60"/>
  <c r="N38" i="60"/>
  <c r="L38" i="60"/>
  <c r="L21" i="60"/>
  <c r="L37" i="60"/>
  <c r="L19" i="60"/>
  <c r="L61" i="60"/>
  <c r="L40" i="60"/>
  <c r="L72" i="60"/>
  <c r="L79" i="60"/>
  <c r="L86" i="60"/>
  <c r="L92" i="60"/>
  <c r="N123" i="60"/>
  <c r="L123" i="60"/>
  <c r="L81" i="60"/>
  <c r="L122" i="60"/>
  <c r="N122" i="60"/>
  <c r="N120" i="60"/>
  <c r="L120" i="60"/>
  <c r="N110" i="60"/>
  <c r="L110" i="60"/>
  <c r="L24" i="60"/>
  <c r="N24" i="60"/>
  <c r="L115" i="60"/>
  <c r="L118" i="60"/>
  <c r="L28" i="60"/>
  <c r="N43" i="60"/>
  <c r="L43" i="60"/>
  <c r="L57" i="60"/>
  <c r="N39" i="60"/>
  <c r="L39" i="60"/>
  <c r="K39" i="60" s="1"/>
  <c r="N104" i="60"/>
  <c r="L104" i="60"/>
  <c r="L77" i="60"/>
  <c r="L97" i="60"/>
  <c r="N109" i="60"/>
  <c r="L109" i="60"/>
  <c r="L16" i="60"/>
  <c r="L100" i="60"/>
  <c r="L27" i="60"/>
  <c r="N69" i="60"/>
  <c r="L69" i="60"/>
  <c r="L107" i="60"/>
  <c r="L52" i="60"/>
  <c r="L42" i="60"/>
  <c r="L80" i="60"/>
  <c r="L41" i="60"/>
  <c r="N99" i="60"/>
  <c r="L99" i="60"/>
  <c r="L63" i="60"/>
  <c r="N63" i="60"/>
  <c r="L70" i="60"/>
  <c r="N70" i="60"/>
  <c r="N76" i="60"/>
  <c r="L76" i="60"/>
  <c r="L83" i="60"/>
  <c r="L82" i="60"/>
  <c r="L65" i="60"/>
  <c r="L106" i="60"/>
  <c r="L121" i="60"/>
  <c r="K121" i="60" s="1"/>
  <c r="N121" i="60"/>
  <c r="N119" i="60"/>
  <c r="L119" i="60"/>
  <c r="N116" i="60"/>
  <c r="L116" i="60"/>
  <c r="F40" i="16"/>
  <c r="F67" i="16"/>
  <c r="F68" i="16"/>
  <c r="F69" i="16"/>
  <c r="F33" i="20"/>
  <c r="F58" i="20"/>
  <c r="F28" i="19"/>
  <c r="F42" i="19"/>
  <c r="F43" i="19"/>
  <c r="F57" i="18"/>
  <c r="F30" i="17"/>
  <c r="F31" i="10"/>
  <c r="F32" i="10"/>
  <c r="F33" i="10"/>
  <c r="F57" i="10"/>
  <c r="F33" i="1"/>
  <c r="F34" i="1"/>
  <c r="F35" i="21"/>
  <c r="F60" i="8"/>
  <c r="F61" i="8"/>
  <c r="F62" i="8"/>
  <c r="B9" i="58" l="1"/>
  <c r="B13" i="58" l="1"/>
  <c r="H16" i="39"/>
  <c r="E16" i="39"/>
  <c r="B12" i="58" l="1"/>
  <c r="B11" i="58"/>
  <c r="B10" i="58"/>
  <c r="B8" i="58"/>
  <c r="B7" i="58"/>
  <c r="B6" i="58"/>
  <c r="H12" i="39" l="1"/>
  <c r="E12" i="39"/>
  <c r="C2" i="57"/>
  <c r="B1" i="7"/>
  <c r="C5" i="57" l="1"/>
  <c r="O3" i="8" s="1"/>
  <c r="C11" i="57"/>
  <c r="O3" i="19" s="1"/>
  <c r="B13" i="7"/>
  <c r="B85" i="7"/>
  <c r="B19" i="7"/>
  <c r="C6" i="57"/>
  <c r="O3" i="21" s="1"/>
  <c r="B41" i="7"/>
  <c r="C9" i="57"/>
  <c r="O3" i="17" s="1"/>
  <c r="B51" i="7"/>
  <c r="C8" i="57"/>
  <c r="O3" i="10" s="1"/>
  <c r="B26" i="7"/>
  <c r="C4" i="57"/>
  <c r="O3" i="12" s="1"/>
  <c r="C7" i="57"/>
  <c r="O3" i="1" s="1"/>
  <c r="C12" i="57"/>
  <c r="O3" i="20" s="1"/>
  <c r="C10" i="57"/>
  <c r="O3" i="18" s="1"/>
  <c r="C14" i="57"/>
  <c r="O3" i="14" s="1"/>
  <c r="C13" i="57"/>
  <c r="O3" i="16" s="1"/>
  <c r="J15" i="56"/>
  <c r="I15" i="56"/>
  <c r="H15" i="56"/>
  <c r="G15" i="56"/>
  <c r="F15" i="56"/>
  <c r="E15" i="56"/>
  <c r="I8" i="56"/>
  <c r="H8" i="56"/>
  <c r="G8" i="56"/>
  <c r="F8" i="56"/>
  <c r="E8" i="56"/>
  <c r="E13" i="39" l="1"/>
  <c r="F20" i="1" l="1"/>
  <c r="F18" i="1"/>
  <c r="F16" i="1"/>
  <c r="F14" i="1"/>
  <c r="H15" i="39" l="1"/>
  <c r="E15" i="39"/>
  <c r="F3" i="49" l="1"/>
  <c r="F4" i="49"/>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F2" i="49"/>
  <c r="N10" i="49"/>
  <c r="M10" i="49"/>
  <c r="L10" i="49"/>
  <c r="K10" i="49"/>
  <c r="J10" i="49"/>
  <c r="N9" i="49"/>
  <c r="M9" i="49"/>
  <c r="L9" i="49"/>
  <c r="K9" i="49"/>
  <c r="J9" i="49"/>
  <c r="O122" i="49" l="1"/>
  <c r="R122" i="49"/>
  <c r="U122" i="49"/>
  <c r="T122" i="49" s="1"/>
  <c r="U123" i="49"/>
  <c r="O123" i="49"/>
  <c r="R123" i="49"/>
  <c r="O18" i="49"/>
  <c r="O16" i="49"/>
  <c r="R121" i="49"/>
  <c r="O120" i="49"/>
  <c r="U118" i="49"/>
  <c r="O117" i="49"/>
  <c r="U115" i="49"/>
  <c r="R114" i="49"/>
  <c r="O113" i="49"/>
  <c r="U111" i="49"/>
  <c r="R110" i="49"/>
  <c r="O109" i="49"/>
  <c r="U107" i="49"/>
  <c r="R106" i="49"/>
  <c r="O105" i="49"/>
  <c r="U103" i="49"/>
  <c r="R102" i="49"/>
  <c r="O101" i="49"/>
  <c r="U99" i="49"/>
  <c r="R98" i="49"/>
  <c r="O97" i="49"/>
  <c r="U95" i="49"/>
  <c r="R94" i="49"/>
  <c r="O93" i="49"/>
  <c r="U91" i="49"/>
  <c r="R90" i="49"/>
  <c r="O89" i="49"/>
  <c r="U87" i="49"/>
  <c r="R86" i="49"/>
  <c r="O85" i="49"/>
  <c r="U83" i="49"/>
  <c r="R82" i="49"/>
  <c r="O81" i="49"/>
  <c r="U79" i="49"/>
  <c r="R78" i="49"/>
  <c r="O77" i="49"/>
  <c r="U75" i="49"/>
  <c r="R74" i="49"/>
  <c r="O73" i="49"/>
  <c r="U71" i="49"/>
  <c r="R70" i="49"/>
  <c r="O69" i="49"/>
  <c r="U67" i="49"/>
  <c r="R66" i="49"/>
  <c r="O65" i="49"/>
  <c r="U63" i="49"/>
  <c r="R62" i="49"/>
  <c r="O61" i="49"/>
  <c r="U59" i="49"/>
  <c r="R58" i="49"/>
  <c r="O57" i="49"/>
  <c r="U55" i="49"/>
  <c r="R54" i="49"/>
  <c r="O53" i="49"/>
  <c r="U51" i="49"/>
  <c r="R50" i="49"/>
  <c r="O49" i="49"/>
  <c r="U47" i="49"/>
  <c r="R46" i="49"/>
  <c r="O45" i="49"/>
  <c r="U44" i="49"/>
  <c r="R43" i="49"/>
  <c r="O42" i="49"/>
  <c r="U40" i="49"/>
  <c r="O38" i="49"/>
  <c r="R35" i="49"/>
  <c r="U32" i="49"/>
  <c r="O30" i="49"/>
  <c r="R27" i="49"/>
  <c r="U24" i="49"/>
  <c r="O22" i="49"/>
  <c r="R19" i="49"/>
  <c r="R16" i="49"/>
  <c r="O9" i="50" s="1"/>
  <c r="O121" i="49"/>
  <c r="U119" i="49"/>
  <c r="R118" i="49"/>
  <c r="U116" i="49"/>
  <c r="R115" i="49"/>
  <c r="O114" i="49"/>
  <c r="U112" i="49"/>
  <c r="R111" i="49"/>
  <c r="O110" i="49"/>
  <c r="U108" i="49"/>
  <c r="R107" i="49"/>
  <c r="O106" i="49"/>
  <c r="U104" i="49"/>
  <c r="R103" i="49"/>
  <c r="O102" i="49"/>
  <c r="U100" i="49"/>
  <c r="R99" i="49"/>
  <c r="O98" i="49"/>
  <c r="U96" i="49"/>
  <c r="R95" i="49"/>
  <c r="O94" i="49"/>
  <c r="U92" i="49"/>
  <c r="R91" i="49"/>
  <c r="O90" i="49"/>
  <c r="U88" i="49"/>
  <c r="R87" i="49"/>
  <c r="O86" i="49"/>
  <c r="U84" i="49"/>
  <c r="R83" i="49"/>
  <c r="O82" i="49"/>
  <c r="U80" i="49"/>
  <c r="R79" i="49"/>
  <c r="O78" i="49"/>
  <c r="U76" i="49"/>
  <c r="R75" i="49"/>
  <c r="O74" i="49"/>
  <c r="U72" i="49"/>
  <c r="R71" i="49"/>
  <c r="O70" i="49"/>
  <c r="U68" i="49"/>
  <c r="R67" i="49"/>
  <c r="O66" i="49"/>
  <c r="U64" i="49"/>
  <c r="R63" i="49"/>
  <c r="O62" i="49"/>
  <c r="U60" i="49"/>
  <c r="R59" i="49"/>
  <c r="O58" i="49"/>
  <c r="U56" i="49"/>
  <c r="R55" i="49"/>
  <c r="O54" i="49"/>
  <c r="U52" i="49"/>
  <c r="R51" i="49"/>
  <c r="O50" i="49"/>
  <c r="U48" i="49"/>
  <c r="R47" i="49"/>
  <c r="O46" i="49"/>
  <c r="R44" i="49"/>
  <c r="O43" i="49"/>
  <c r="U41" i="49"/>
  <c r="O40" i="49"/>
  <c r="R37" i="49"/>
  <c r="U34" i="49"/>
  <c r="O32" i="49"/>
  <c r="R29" i="49"/>
  <c r="U26" i="49"/>
  <c r="O24" i="49"/>
  <c r="R21" i="49"/>
  <c r="U18" i="49"/>
  <c r="U16" i="49"/>
  <c r="Q9" i="50" s="1"/>
  <c r="U120" i="49"/>
  <c r="R119" i="49"/>
  <c r="O118" i="49"/>
  <c r="U117" i="49"/>
  <c r="R116" i="49"/>
  <c r="O115" i="49"/>
  <c r="U113" i="49"/>
  <c r="R112" i="49"/>
  <c r="O111" i="49"/>
  <c r="U109" i="49"/>
  <c r="R108" i="49"/>
  <c r="O107" i="49"/>
  <c r="U105" i="49"/>
  <c r="R104" i="49"/>
  <c r="O103" i="49"/>
  <c r="U101" i="49"/>
  <c r="R100" i="49"/>
  <c r="O99" i="49"/>
  <c r="U97" i="49"/>
  <c r="R96" i="49"/>
  <c r="O95" i="49"/>
  <c r="U93" i="49"/>
  <c r="R92" i="49"/>
  <c r="O91" i="49"/>
  <c r="U89" i="49"/>
  <c r="R88" i="49"/>
  <c r="O87" i="49"/>
  <c r="U85" i="49"/>
  <c r="R84" i="49"/>
  <c r="O83" i="49"/>
  <c r="U81" i="49"/>
  <c r="R80" i="49"/>
  <c r="O79" i="49"/>
  <c r="U77" i="49"/>
  <c r="R76" i="49"/>
  <c r="O75" i="49"/>
  <c r="U73" i="49"/>
  <c r="R72" i="49"/>
  <c r="O71" i="49"/>
  <c r="U69" i="49"/>
  <c r="R68" i="49"/>
  <c r="O67" i="49"/>
  <c r="U65" i="49"/>
  <c r="R64" i="49"/>
  <c r="O63" i="49"/>
  <c r="U61" i="49"/>
  <c r="R60" i="49"/>
  <c r="O59" i="49"/>
  <c r="U57" i="49"/>
  <c r="R56" i="49"/>
  <c r="O55" i="49"/>
  <c r="U53" i="49"/>
  <c r="R52" i="49"/>
  <c r="O51" i="49"/>
  <c r="U49" i="49"/>
  <c r="R48" i="49"/>
  <c r="O47" i="49"/>
  <c r="U45" i="49"/>
  <c r="O44" i="49"/>
  <c r="U42" i="49"/>
  <c r="R41" i="49"/>
  <c r="R39" i="49"/>
  <c r="U36" i="49"/>
  <c r="O34" i="49"/>
  <c r="R31" i="49"/>
  <c r="U28" i="49"/>
  <c r="O26" i="49"/>
  <c r="R23" i="49"/>
  <c r="U20" i="49"/>
  <c r="U17" i="49"/>
  <c r="O19" i="49"/>
  <c r="R20" i="49"/>
  <c r="U21" i="49"/>
  <c r="O23" i="49"/>
  <c r="R24" i="49"/>
  <c r="U25" i="49"/>
  <c r="O27" i="49"/>
  <c r="R28" i="49"/>
  <c r="U29" i="49"/>
  <c r="O31" i="49"/>
  <c r="R32" i="49"/>
  <c r="U33" i="49"/>
  <c r="O35" i="49"/>
  <c r="R36" i="49"/>
  <c r="U37" i="49"/>
  <c r="O39" i="49"/>
  <c r="R40" i="49"/>
  <c r="O17" i="49"/>
  <c r="R18" i="49"/>
  <c r="U19" i="49"/>
  <c r="O21" i="49"/>
  <c r="R22" i="49"/>
  <c r="U23" i="49"/>
  <c r="O25" i="49"/>
  <c r="R26" i="49"/>
  <c r="U27" i="49"/>
  <c r="O29" i="49"/>
  <c r="R30" i="49"/>
  <c r="U31" i="49"/>
  <c r="O33" i="49"/>
  <c r="R34" i="49"/>
  <c r="U35" i="49"/>
  <c r="O37" i="49"/>
  <c r="R38" i="49"/>
  <c r="U39" i="49"/>
  <c r="U121" i="49"/>
  <c r="R120" i="49"/>
  <c r="O119" i="49"/>
  <c r="R117" i="49"/>
  <c r="O116" i="49"/>
  <c r="U114" i="49"/>
  <c r="R113" i="49"/>
  <c r="O112" i="49"/>
  <c r="U110" i="49"/>
  <c r="R109" i="49"/>
  <c r="O108" i="49"/>
  <c r="U106" i="49"/>
  <c r="R105" i="49"/>
  <c r="O104" i="49"/>
  <c r="U102" i="49"/>
  <c r="R101" i="49"/>
  <c r="O100" i="49"/>
  <c r="U98" i="49"/>
  <c r="R97" i="49"/>
  <c r="O96" i="49"/>
  <c r="U94" i="49"/>
  <c r="R93" i="49"/>
  <c r="O92" i="49"/>
  <c r="U90" i="49"/>
  <c r="R89" i="49"/>
  <c r="O88" i="49"/>
  <c r="U86" i="49"/>
  <c r="R85" i="49"/>
  <c r="O84" i="49"/>
  <c r="U82" i="49"/>
  <c r="R81" i="49"/>
  <c r="O80" i="49"/>
  <c r="U78" i="49"/>
  <c r="R77" i="49"/>
  <c r="O76" i="49"/>
  <c r="U74" i="49"/>
  <c r="R73" i="49"/>
  <c r="O72" i="49"/>
  <c r="U70" i="49"/>
  <c r="R69" i="49"/>
  <c r="O68" i="49"/>
  <c r="U66" i="49"/>
  <c r="R65" i="49"/>
  <c r="O64" i="49"/>
  <c r="U62" i="49"/>
  <c r="R61" i="49"/>
  <c r="O60" i="49"/>
  <c r="U58" i="49"/>
  <c r="R57" i="49"/>
  <c r="O56" i="49"/>
  <c r="U54" i="49"/>
  <c r="R53" i="49"/>
  <c r="O52" i="49"/>
  <c r="U50" i="49"/>
  <c r="R49" i="49"/>
  <c r="O48" i="49"/>
  <c r="U46" i="49"/>
  <c r="R45" i="49"/>
  <c r="U43" i="49"/>
  <c r="R42" i="49"/>
  <c r="O41" i="49"/>
  <c r="U38" i="49"/>
  <c r="O36" i="49"/>
  <c r="R33" i="49"/>
  <c r="U30" i="49"/>
  <c r="O28" i="49"/>
  <c r="R25" i="49"/>
  <c r="U22" i="49"/>
  <c r="O20" i="49"/>
  <c r="R17" i="49"/>
  <c r="N123" i="49" l="1"/>
  <c r="L123" i="49"/>
  <c r="L122" i="49"/>
  <c r="N122" i="49"/>
  <c r="L20" i="49"/>
  <c r="L41" i="49"/>
  <c r="L56" i="49"/>
  <c r="L72" i="49"/>
  <c r="L88" i="49"/>
  <c r="L104" i="49"/>
  <c r="N119" i="49"/>
  <c r="L119" i="49"/>
  <c r="L33" i="49"/>
  <c r="L17" i="49"/>
  <c r="L31" i="49"/>
  <c r="L34" i="49"/>
  <c r="L47" i="49"/>
  <c r="L63" i="49"/>
  <c r="L79" i="49"/>
  <c r="L95" i="49"/>
  <c r="L111" i="49"/>
  <c r="L24" i="49"/>
  <c r="L43" i="49"/>
  <c r="L58" i="49"/>
  <c r="L74" i="49"/>
  <c r="L90" i="49"/>
  <c r="L106" i="49"/>
  <c r="N121" i="49"/>
  <c r="L121" i="49"/>
  <c r="L53" i="49"/>
  <c r="L69" i="49"/>
  <c r="L85" i="49"/>
  <c r="L101" i="49"/>
  <c r="L117" i="49"/>
  <c r="L68" i="49"/>
  <c r="L84" i="49"/>
  <c r="L100" i="49"/>
  <c r="N116" i="49"/>
  <c r="L116" i="49"/>
  <c r="L37" i="49"/>
  <c r="L21" i="49"/>
  <c r="L35" i="49"/>
  <c r="L19" i="49"/>
  <c r="L26" i="49"/>
  <c r="L44" i="49"/>
  <c r="L59" i="49"/>
  <c r="L75" i="49"/>
  <c r="L91" i="49"/>
  <c r="L107" i="49"/>
  <c r="L54" i="49"/>
  <c r="N70" i="49"/>
  <c r="L70" i="49"/>
  <c r="L86" i="49"/>
  <c r="L102" i="49"/>
  <c r="L38" i="49"/>
  <c r="L49" i="49"/>
  <c r="L65" i="49"/>
  <c r="L81" i="49"/>
  <c r="L97" i="49"/>
  <c r="L113" i="49"/>
  <c r="M9" i="50"/>
  <c r="L16" i="49"/>
  <c r="K9" i="50" s="1"/>
  <c r="L48" i="49"/>
  <c r="L64" i="49"/>
  <c r="L80" i="49"/>
  <c r="L96" i="49"/>
  <c r="L112" i="49"/>
  <c r="L23" i="49"/>
  <c r="L55" i="49"/>
  <c r="L71" i="49"/>
  <c r="L87" i="49"/>
  <c r="L103" i="49"/>
  <c r="L118" i="49"/>
  <c r="L40" i="49"/>
  <c r="L50" i="49"/>
  <c r="L66" i="49"/>
  <c r="L82" i="49"/>
  <c r="L98" i="49"/>
  <c r="L114" i="49"/>
  <c r="L30" i="49"/>
  <c r="L45" i="49"/>
  <c r="L61" i="49"/>
  <c r="L77" i="49"/>
  <c r="L93" i="49"/>
  <c r="L109" i="49"/>
  <c r="L18" i="49"/>
  <c r="L52" i="49"/>
  <c r="L36" i="49"/>
  <c r="L25" i="49"/>
  <c r="L39" i="49"/>
  <c r="L28" i="49"/>
  <c r="L60" i="49"/>
  <c r="L76" i="49"/>
  <c r="L92" i="49"/>
  <c r="L108" i="49"/>
  <c r="L29" i="49"/>
  <c r="L27" i="49"/>
  <c r="L51" i="49"/>
  <c r="L67" i="49"/>
  <c r="L83" i="49"/>
  <c r="L99" i="49"/>
  <c r="L115" i="49"/>
  <c r="L32" i="49"/>
  <c r="L46" i="49"/>
  <c r="L62" i="49"/>
  <c r="L78" i="49"/>
  <c r="L94" i="49"/>
  <c r="L110" i="49"/>
  <c r="L22" i="49"/>
  <c r="L42" i="49"/>
  <c r="L57" i="49"/>
  <c r="L73" i="49"/>
  <c r="L89" i="49"/>
  <c r="L105" i="49"/>
  <c r="N120" i="49"/>
  <c r="L120" i="49"/>
  <c r="N2" i="49"/>
  <c r="M2" i="49"/>
  <c r="L2" i="49"/>
  <c r="K2" i="49"/>
  <c r="J2" i="49"/>
  <c r="E483" i="39" l="1"/>
  <c r="E482" i="39"/>
  <c r="E481" i="39"/>
  <c r="E480" i="39"/>
  <c r="E479" i="39"/>
  <c r="E478" i="39"/>
  <c r="E477" i="39"/>
  <c r="E476" i="39"/>
  <c r="E475" i="39"/>
  <c r="E474" i="39"/>
  <c r="E473" i="39"/>
  <c r="E14" i="39"/>
  <c r="E11" i="39"/>
  <c r="E10" i="39"/>
  <c r="H483" i="39"/>
  <c r="H482" i="39"/>
  <c r="H481" i="39"/>
  <c r="H480" i="39"/>
  <c r="H479" i="39"/>
  <c r="H478" i="39"/>
  <c r="H477" i="39"/>
  <c r="H476" i="39"/>
  <c r="H475" i="39"/>
  <c r="H474" i="39"/>
  <c r="H473" i="39"/>
  <c r="H14" i="39"/>
  <c r="H13" i="39"/>
  <c r="H11" i="39"/>
  <c r="H10" i="39"/>
  <c r="U10" i="5" l="1"/>
  <c r="F24" i="12" l="1"/>
  <c r="F25" i="12"/>
  <c r="F26" i="12"/>
  <c r="F27" i="12"/>
  <c r="F28" i="12"/>
  <c r="F29" i="12"/>
  <c r="F30" i="12"/>
  <c r="F31" i="12"/>
  <c r="F35" i="12"/>
  <c r="F36" i="12"/>
  <c r="F37" i="12"/>
  <c r="F38" i="12"/>
  <c r="F39" i="12"/>
  <c r="F40" i="12"/>
  <c r="F41" i="12"/>
  <c r="F42" i="12"/>
  <c r="F43" i="12"/>
  <c r="F44" i="12"/>
  <c r="F45" i="12"/>
  <c r="F49" i="12"/>
  <c r="F50" i="12"/>
  <c r="F51" i="12"/>
  <c r="F52" i="12"/>
  <c r="F53" i="12"/>
  <c r="F54" i="12"/>
  <c r="F55" i="12"/>
  <c r="F56" i="12"/>
  <c r="F29" i="6"/>
  <c r="T10" i="5" l="1"/>
  <c r="T3" i="5"/>
  <c r="F81" i="16" l="1"/>
  <c r="F80" i="16"/>
  <c r="F70" i="16"/>
  <c r="F66" i="16"/>
  <c r="F65" i="16"/>
  <c r="F64" i="16"/>
  <c r="F63" i="16"/>
  <c r="F58" i="16"/>
  <c r="F55" i="16"/>
  <c r="F54" i="16"/>
  <c r="F53" i="16"/>
  <c r="F52" i="16"/>
  <c r="F51" i="16"/>
  <c r="F50" i="16"/>
  <c r="F49" i="16"/>
  <c r="F48" i="16"/>
  <c r="F47" i="16"/>
  <c r="F41" i="16"/>
  <c r="F91" i="16"/>
  <c r="F90" i="16"/>
  <c r="F89" i="16"/>
  <c r="F88" i="16"/>
  <c r="F87" i="16"/>
  <c r="F86" i="16"/>
  <c r="F85" i="16"/>
  <c r="F84" i="16"/>
  <c r="F58" i="18"/>
  <c r="F76" i="18"/>
  <c r="F75" i="18"/>
  <c r="F74" i="18"/>
  <c r="F73" i="18"/>
  <c r="F72" i="18"/>
  <c r="F71" i="18"/>
  <c r="F70" i="18"/>
  <c r="F69" i="18"/>
  <c r="F68" i="18"/>
  <c r="F67" i="18"/>
  <c r="F66" i="18"/>
  <c r="F65" i="18"/>
  <c r="F64" i="18"/>
  <c r="F63" i="18"/>
  <c r="F62" i="18"/>
  <c r="F61" i="18"/>
  <c r="F31" i="17"/>
  <c r="F58" i="10"/>
  <c r="F46" i="10"/>
  <c r="F56" i="10"/>
  <c r="F55" i="10"/>
  <c r="F54" i="10"/>
  <c r="F53" i="10"/>
  <c r="F52" i="10"/>
  <c r="F51" i="10"/>
  <c r="F50" i="10"/>
  <c r="F49" i="10"/>
  <c r="F50" i="1"/>
  <c r="F49" i="1"/>
  <c r="F38" i="1"/>
  <c r="F39" i="1"/>
  <c r="F40" i="1"/>
  <c r="F41" i="1"/>
  <c r="F42" i="1"/>
  <c r="F43" i="1"/>
  <c r="F44" i="1"/>
  <c r="F45" i="1"/>
  <c r="F46" i="1"/>
  <c r="F47" i="1"/>
  <c r="F48" i="1"/>
  <c r="F75" i="1"/>
  <c r="F74" i="1"/>
  <c r="F73" i="1"/>
  <c r="F72" i="1"/>
  <c r="F71" i="1"/>
  <c r="F70" i="1"/>
  <c r="F67" i="1"/>
  <c r="F66" i="1"/>
  <c r="F65" i="1"/>
  <c r="F64" i="1"/>
  <c r="F63" i="1"/>
  <c r="F62" i="1"/>
  <c r="F60" i="1"/>
  <c r="O61" i="5"/>
  <c r="F45" i="8"/>
  <c r="F44" i="8"/>
  <c r="F35" i="8"/>
  <c r="F34" i="8"/>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81" i="5"/>
  <c r="F180" i="5"/>
  <c r="F179" i="5"/>
  <c r="F178" i="5"/>
  <c r="F177" i="5"/>
  <c r="F176" i="5"/>
  <c r="F175" i="5"/>
  <c r="F174" i="5"/>
  <c r="F173" i="5"/>
  <c r="F172" i="5"/>
  <c r="F171" i="5"/>
  <c r="F170" i="5"/>
  <c r="F169" i="5"/>
  <c r="F168" i="5"/>
  <c r="F167" i="5"/>
  <c r="F166" i="5"/>
  <c r="F165" i="5"/>
  <c r="F164" i="5"/>
  <c r="F163" i="5"/>
  <c r="F162" i="5"/>
  <c r="F161" i="5"/>
  <c r="F160" i="5"/>
  <c r="F159" i="5"/>
  <c r="F158" i="5"/>
  <c r="F94" i="5"/>
  <c r="F93" i="5"/>
  <c r="F92" i="5"/>
  <c r="F91" i="5"/>
  <c r="F90" i="5"/>
  <c r="F89" i="5"/>
  <c r="F88" i="5"/>
  <c r="F87" i="5"/>
  <c r="F86" i="5"/>
  <c r="F85" i="5"/>
  <c r="F84" i="5"/>
  <c r="F83" i="5"/>
  <c r="F82" i="5"/>
  <c r="F81" i="5"/>
  <c r="F80" i="5"/>
  <c r="F79" i="5"/>
  <c r="F78" i="5"/>
  <c r="F77" i="5"/>
  <c r="F76" i="5"/>
  <c r="F75" i="5"/>
  <c r="F74" i="5"/>
  <c r="F73" i="5"/>
  <c r="F69" i="5"/>
  <c r="F68" i="5"/>
  <c r="F67" i="5"/>
  <c r="F66" i="5"/>
  <c r="F65" i="5"/>
  <c r="F64" i="5"/>
  <c r="F63" i="5"/>
  <c r="F62" i="5"/>
  <c r="F61" i="5"/>
  <c r="F60" i="5"/>
  <c r="F59" i="5"/>
  <c r="F58" i="5"/>
  <c r="F57" i="5"/>
  <c r="F56" i="5"/>
  <c r="F55" i="5"/>
  <c r="F54" i="5"/>
  <c r="F53" i="5"/>
  <c r="F52" i="5"/>
  <c r="F51" i="5"/>
  <c r="F50" i="5"/>
  <c r="F49" i="5"/>
  <c r="F48" i="5"/>
  <c r="F46" i="5"/>
  <c r="F45" i="5"/>
  <c r="F44" i="5"/>
  <c r="F43" i="5"/>
  <c r="F42" i="5"/>
  <c r="F41" i="5"/>
  <c r="F40" i="5"/>
  <c r="F39" i="5"/>
  <c r="F38" i="5"/>
  <c r="F37" i="5"/>
  <c r="F384" i="5"/>
  <c r="F383" i="5"/>
  <c r="F382" i="5"/>
  <c r="F381" i="5"/>
  <c r="F380" i="5"/>
  <c r="F379" i="5"/>
  <c r="F377" i="5"/>
  <c r="F376" i="5"/>
  <c r="G378" i="5" s="1"/>
  <c r="F375" i="5"/>
  <c r="F374" i="5"/>
  <c r="F373" i="5"/>
  <c r="F372" i="5"/>
  <c r="F371" i="5"/>
  <c r="F370" i="5"/>
  <c r="F369" i="5"/>
  <c r="F368" i="5"/>
  <c r="F367" i="5"/>
  <c r="F365" i="5"/>
  <c r="F364" i="5"/>
  <c r="F363" i="5"/>
  <c r="F362" i="5"/>
  <c r="F361" i="5"/>
  <c r="F360" i="5"/>
  <c r="F358" i="5"/>
  <c r="F357" i="5"/>
  <c r="F356" i="5"/>
  <c r="F355" i="5"/>
  <c r="F354" i="5"/>
  <c r="F353" i="5"/>
  <c r="F322" i="5"/>
  <c r="F321" i="5"/>
  <c r="F320" i="5"/>
  <c r="F319" i="5"/>
  <c r="F318" i="5"/>
  <c r="F317" i="5"/>
  <c r="F314" i="5"/>
  <c r="F313" i="5"/>
  <c r="F312" i="5"/>
  <c r="F311" i="5"/>
  <c r="F310" i="5"/>
  <c r="F309" i="5"/>
  <c r="F308" i="5"/>
  <c r="F307" i="5"/>
  <c r="F306" i="5"/>
  <c r="F305" i="5"/>
  <c r="F304" i="5"/>
  <c r="F302" i="5"/>
  <c r="F301" i="5"/>
  <c r="F300" i="5"/>
  <c r="F299" i="5"/>
  <c r="F298" i="5"/>
  <c r="F230" i="5"/>
  <c r="F229" i="5"/>
  <c r="F228" i="5"/>
  <c r="F227" i="5"/>
  <c r="F226" i="5"/>
  <c r="F225" i="5"/>
  <c r="F224" i="5"/>
  <c r="F223" i="5"/>
  <c r="F222" i="5"/>
  <c r="F221" i="5"/>
  <c r="F220" i="5"/>
  <c r="F219" i="5"/>
  <c r="F218" i="5"/>
  <c r="F217" i="5"/>
  <c r="F216" i="5"/>
  <c r="F215" i="5"/>
  <c r="F214" i="5"/>
  <c r="F213" i="5"/>
  <c r="F212" i="5"/>
  <c r="F211" i="5"/>
  <c r="F210" i="5"/>
  <c r="F209"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297" i="5"/>
  <c r="F296" i="5"/>
  <c r="F295" i="5"/>
  <c r="F294" i="5"/>
  <c r="F293" i="5"/>
  <c r="F292" i="5"/>
  <c r="F291" i="5"/>
  <c r="F290" i="5"/>
  <c r="F289" i="5"/>
  <c r="F288" i="5"/>
  <c r="F287" i="5"/>
  <c r="F286" i="5"/>
  <c r="F285" i="5"/>
  <c r="F284" i="5"/>
  <c r="F283" i="5"/>
  <c r="F282" i="5"/>
  <c r="F281" i="5"/>
  <c r="F280" i="5"/>
  <c r="F279" i="5"/>
  <c r="F278" i="5"/>
  <c r="F277" i="5"/>
  <c r="F276" i="5"/>
  <c r="F274" i="5"/>
  <c r="F273" i="5"/>
  <c r="F272" i="5"/>
  <c r="F271" i="5"/>
  <c r="F270" i="5"/>
  <c r="F36" i="5"/>
  <c r="F35" i="5"/>
  <c r="F34" i="5"/>
  <c r="F33" i="5"/>
  <c r="F32" i="5"/>
  <c r="F31" i="5"/>
  <c r="F29" i="5"/>
  <c r="F28" i="5"/>
  <c r="F27" i="5"/>
  <c r="F26" i="5"/>
  <c r="F25" i="5"/>
  <c r="F24" i="5"/>
  <c r="F23" i="5"/>
  <c r="F22" i="5"/>
  <c r="F21" i="5"/>
  <c r="F20" i="5"/>
  <c r="F19" i="5"/>
  <c r="F18" i="5"/>
  <c r="F17" i="5"/>
  <c r="F16" i="5"/>
  <c r="F15" i="5"/>
  <c r="F14" i="5"/>
  <c r="F13" i="5"/>
  <c r="F12" i="5"/>
  <c r="F7" i="5"/>
  <c r="F6" i="5"/>
  <c r="F5" i="5"/>
  <c r="F4" i="5"/>
  <c r="F3" i="5"/>
  <c r="F2"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6" i="5"/>
  <c r="F235" i="5"/>
  <c r="F234" i="5"/>
  <c r="F233" i="5"/>
  <c r="F232" i="5"/>
  <c r="F231" i="5"/>
  <c r="F352" i="5"/>
  <c r="F351" i="5"/>
  <c r="F350" i="5"/>
  <c r="F349" i="5"/>
  <c r="F348" i="5"/>
  <c r="F347" i="5"/>
  <c r="F346" i="5"/>
  <c r="F345" i="5"/>
  <c r="F344" i="5"/>
  <c r="F343" i="5"/>
  <c r="F342" i="5"/>
  <c r="F341" i="5"/>
  <c r="F340" i="5"/>
  <c r="F339" i="5"/>
  <c r="F338" i="5"/>
  <c r="F337" i="5"/>
  <c r="F336" i="5"/>
  <c r="F334" i="5"/>
  <c r="F333" i="5"/>
  <c r="F332" i="5"/>
  <c r="F331" i="5"/>
  <c r="F330" i="5"/>
  <c r="F329" i="5"/>
  <c r="F328" i="5"/>
  <c r="F327" i="5"/>
  <c r="F326" i="5"/>
  <c r="F325" i="5"/>
  <c r="F324" i="5"/>
  <c r="F323" i="5"/>
  <c r="F130" i="5"/>
  <c r="F129" i="5"/>
  <c r="F128" i="5"/>
  <c r="F127" i="5"/>
  <c r="F126" i="5"/>
  <c r="F125"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G123" i="5" l="1"/>
  <c r="G124" i="5"/>
  <c r="G122" i="5"/>
  <c r="G366" i="5"/>
  <c r="G359" i="5"/>
  <c r="G335" i="5"/>
  <c r="G315" i="5"/>
  <c r="G316" i="5"/>
  <c r="G303" i="5"/>
  <c r="G275" i="5"/>
  <c r="G238" i="5"/>
  <c r="G237" i="5"/>
  <c r="G208" i="5"/>
  <c r="G71" i="5"/>
  <c r="G70" i="5"/>
  <c r="G72" i="5"/>
  <c r="G30" i="5"/>
  <c r="G47" i="5"/>
  <c r="G11" i="5"/>
  <c r="G10" i="5"/>
  <c r="N67" i="5" s="1"/>
  <c r="G9" i="5"/>
  <c r="G8" i="5"/>
  <c r="G95" i="5"/>
  <c r="L79" i="5" s="1"/>
  <c r="G98" i="5"/>
  <c r="G105" i="5"/>
  <c r="G102" i="5"/>
  <c r="G109" i="5"/>
  <c r="G294" i="5"/>
  <c r="N108" i="5" s="1"/>
  <c r="G290" i="5"/>
  <c r="G297" i="5"/>
  <c r="G326" i="5"/>
  <c r="G334" i="5"/>
  <c r="G292" i="5"/>
  <c r="G112" i="5"/>
  <c r="M81" i="5" s="1"/>
  <c r="G130" i="5"/>
  <c r="G339" i="5"/>
  <c r="G126" i="5"/>
  <c r="G343" i="5"/>
  <c r="G119" i="5"/>
  <c r="G330" i="5"/>
  <c r="G347" i="5"/>
  <c r="G351" i="5"/>
  <c r="G233" i="5"/>
  <c r="G239" i="5"/>
  <c r="G243" i="5"/>
  <c r="G247" i="5"/>
  <c r="G158" i="5"/>
  <c r="G192" i="5"/>
  <c r="G197" i="5"/>
  <c r="G205" i="5"/>
  <c r="G214" i="5"/>
  <c r="G222" i="5"/>
  <c r="G299" i="5"/>
  <c r="G305" i="5"/>
  <c r="G310" i="5"/>
  <c r="G383" i="5"/>
  <c r="G131" i="5"/>
  <c r="G101" i="5"/>
  <c r="G115" i="5"/>
  <c r="G129" i="5"/>
  <c r="G329" i="5"/>
  <c r="G346" i="5"/>
  <c r="G232" i="5"/>
  <c r="G246" i="5"/>
  <c r="G250" i="5"/>
  <c r="G255" i="5"/>
  <c r="G258" i="5"/>
  <c r="N101" i="5" s="1"/>
  <c r="G260" i="5"/>
  <c r="G263" i="5"/>
  <c r="G266" i="5"/>
  <c r="G268" i="5"/>
  <c r="G3" i="5"/>
  <c r="G6" i="5"/>
  <c r="G12" i="5"/>
  <c r="L68" i="5" s="1"/>
  <c r="G15" i="5"/>
  <c r="G18" i="5"/>
  <c r="G20" i="5"/>
  <c r="G23" i="5"/>
  <c r="G26" i="5"/>
  <c r="G28" i="5"/>
  <c r="G32" i="5"/>
  <c r="G35" i="5"/>
  <c r="G270" i="5"/>
  <c r="L105" i="5" s="1"/>
  <c r="G273" i="5"/>
  <c r="G277" i="5"/>
  <c r="G279" i="5"/>
  <c r="G281" i="5"/>
  <c r="G283" i="5"/>
  <c r="G286" i="5"/>
  <c r="G288" i="5"/>
  <c r="G295" i="5"/>
  <c r="G187" i="5"/>
  <c r="G195" i="5"/>
  <c r="G203" i="5"/>
  <c r="G212" i="5"/>
  <c r="G220" i="5"/>
  <c r="G227" i="5"/>
  <c r="G302" i="5"/>
  <c r="G311" i="5"/>
  <c r="G355" i="5"/>
  <c r="G364" i="5"/>
  <c r="G381" i="5"/>
  <c r="G43" i="5"/>
  <c r="G55" i="5"/>
  <c r="G73" i="5"/>
  <c r="M75" i="5" s="1"/>
  <c r="G147" i="5"/>
  <c r="G184" i="5"/>
  <c r="G189" i="5"/>
  <c r="G200" i="5"/>
  <c r="M95" i="5" s="1"/>
  <c r="G209" i="5"/>
  <c r="L96" i="5" s="1"/>
  <c r="G217" i="5"/>
  <c r="G229" i="5"/>
  <c r="G301" i="5"/>
  <c r="G308" i="5"/>
  <c r="G321" i="5"/>
  <c r="G79" i="5"/>
  <c r="G104" i="5"/>
  <c r="M80" i="5" s="1"/>
  <c r="G111" i="5"/>
  <c r="L81" i="5" s="1"/>
  <c r="G125" i="5"/>
  <c r="M83" i="5" s="1"/>
  <c r="G333" i="5"/>
  <c r="G342" i="5"/>
  <c r="G236" i="5"/>
  <c r="G242" i="5"/>
  <c r="G252" i="5"/>
  <c r="G96" i="5"/>
  <c r="M79" i="5" s="1"/>
  <c r="G100" i="5"/>
  <c r="N79" i="5" s="1"/>
  <c r="G103" i="5"/>
  <c r="L80" i="5" s="1"/>
  <c r="G107" i="5"/>
  <c r="G114" i="5"/>
  <c r="G117" i="5"/>
  <c r="G121" i="5"/>
  <c r="G128" i="5"/>
  <c r="G324" i="5"/>
  <c r="G328" i="5"/>
  <c r="G332" i="5"/>
  <c r="G337" i="5"/>
  <c r="G341" i="5"/>
  <c r="G345" i="5"/>
  <c r="G349" i="5"/>
  <c r="N116" i="5" s="1"/>
  <c r="G231" i="5"/>
  <c r="G235" i="5"/>
  <c r="G241" i="5"/>
  <c r="G245" i="5"/>
  <c r="G249" i="5"/>
  <c r="G289" i="5"/>
  <c r="G133" i="5"/>
  <c r="G170" i="5"/>
  <c r="G91" i="5"/>
  <c r="N77" i="5" s="1"/>
  <c r="G75" i="5"/>
  <c r="G54" i="5"/>
  <c r="G45" i="5"/>
  <c r="G37" i="5"/>
  <c r="L72" i="5" s="1"/>
  <c r="G380" i="5"/>
  <c r="G372" i="5"/>
  <c r="G363" i="5"/>
  <c r="G152" i="5"/>
  <c r="G145" i="5"/>
  <c r="G180" i="5"/>
  <c r="G166" i="5"/>
  <c r="G87" i="5"/>
  <c r="N76" i="5" s="1"/>
  <c r="G68" i="5"/>
  <c r="N74" i="5" s="1"/>
  <c r="G56" i="5"/>
  <c r="G48" i="5"/>
  <c r="L73" i="5" s="1"/>
  <c r="G39" i="5"/>
  <c r="G354" i="5"/>
  <c r="G320" i="5"/>
  <c r="G141" i="5"/>
  <c r="G176" i="5"/>
  <c r="G162" i="5"/>
  <c r="G83" i="5"/>
  <c r="G64" i="5"/>
  <c r="G58" i="5"/>
  <c r="G50" i="5"/>
  <c r="G41" i="5"/>
  <c r="G375" i="5"/>
  <c r="G368" i="5"/>
  <c r="G358" i="5"/>
  <c r="G291" i="5"/>
  <c r="G293" i="5"/>
  <c r="G296" i="5"/>
  <c r="G182" i="5"/>
  <c r="G185" i="5"/>
  <c r="N93" i="5" s="1"/>
  <c r="G188" i="5"/>
  <c r="G190" i="5"/>
  <c r="G193" i="5"/>
  <c r="G196" i="5"/>
  <c r="G198" i="5"/>
  <c r="G201" i="5"/>
  <c r="G204" i="5"/>
  <c r="G206" i="5"/>
  <c r="G210" i="5"/>
  <c r="G213" i="5"/>
  <c r="G215" i="5"/>
  <c r="G218" i="5"/>
  <c r="G221" i="5"/>
  <c r="N96" i="5" s="1"/>
  <c r="G223" i="5"/>
  <c r="G225" i="5"/>
  <c r="G228" i="5"/>
  <c r="G230" i="5"/>
  <c r="G300" i="5"/>
  <c r="M110" i="5" s="1"/>
  <c r="G304" i="5"/>
  <c r="G306" i="5"/>
  <c r="M111" i="5" s="1"/>
  <c r="G309" i="5"/>
  <c r="G312" i="5"/>
  <c r="G314" i="5"/>
  <c r="G319" i="5"/>
  <c r="G361" i="5"/>
  <c r="G370" i="5"/>
  <c r="G377" i="5"/>
  <c r="G52" i="5"/>
  <c r="G89" i="5"/>
  <c r="M77" i="5" s="1"/>
  <c r="G174" i="5"/>
  <c r="G186" i="5"/>
  <c r="G194" i="5"/>
  <c r="G202" i="5"/>
  <c r="G211" i="5"/>
  <c r="G219" i="5"/>
  <c r="G226" i="5"/>
  <c r="G313" i="5"/>
  <c r="G46" i="5"/>
  <c r="G154" i="5"/>
  <c r="G97" i="5"/>
  <c r="G108" i="5"/>
  <c r="N80" i="5" s="1"/>
  <c r="G118" i="5"/>
  <c r="M82" i="5" s="1"/>
  <c r="G325" i="5"/>
  <c r="G338" i="5"/>
  <c r="G350" i="5"/>
  <c r="G99" i="5"/>
  <c r="G106" i="5"/>
  <c r="G110" i="5"/>
  <c r="G113" i="5"/>
  <c r="G116" i="5"/>
  <c r="L82" i="5" s="1"/>
  <c r="G120" i="5"/>
  <c r="N82" i="5" s="1"/>
  <c r="G127" i="5"/>
  <c r="N83" i="5" s="1"/>
  <c r="G323" i="5"/>
  <c r="L114" i="5" s="1"/>
  <c r="G327" i="5"/>
  <c r="M114" i="5" s="1"/>
  <c r="G331" i="5"/>
  <c r="G336" i="5"/>
  <c r="L115" i="5" s="1"/>
  <c r="G340" i="5"/>
  <c r="G344" i="5"/>
  <c r="G348" i="5"/>
  <c r="G352" i="5"/>
  <c r="G234" i="5"/>
  <c r="G240" i="5"/>
  <c r="M100" i="5" s="1"/>
  <c r="G244" i="5"/>
  <c r="G248" i="5"/>
  <c r="G251" i="5"/>
  <c r="G254" i="5"/>
  <c r="G256" i="5"/>
  <c r="G259" i="5"/>
  <c r="L102" i="5" s="1"/>
  <c r="G262" i="5"/>
  <c r="G264" i="5"/>
  <c r="M103" i="5" s="1"/>
  <c r="G267" i="5"/>
  <c r="G2" i="5"/>
  <c r="L67" i="5" s="1"/>
  <c r="G4" i="5"/>
  <c r="G7" i="5"/>
  <c r="G14" i="5"/>
  <c r="M68" i="5" s="1"/>
  <c r="G16" i="5"/>
  <c r="G19" i="5"/>
  <c r="N68" i="5" s="1"/>
  <c r="G22" i="5"/>
  <c r="G24" i="5"/>
  <c r="M69" i="5" s="1"/>
  <c r="G27" i="5"/>
  <c r="G31" i="5"/>
  <c r="M70" i="5" s="1"/>
  <c r="G33" i="5"/>
  <c r="N70" i="5" s="1"/>
  <c r="G36" i="5"/>
  <c r="G272" i="5"/>
  <c r="G274" i="5"/>
  <c r="G183" i="5"/>
  <c r="M93" i="5" s="1"/>
  <c r="G191" i="5"/>
  <c r="G199" i="5"/>
  <c r="G207" i="5"/>
  <c r="G216" i="5"/>
  <c r="G224" i="5"/>
  <c r="G298" i="5"/>
  <c r="L110" i="5" s="1"/>
  <c r="G307" i="5"/>
  <c r="G317" i="5"/>
  <c r="M112" i="5" s="1"/>
  <c r="G353" i="5"/>
  <c r="G38" i="5"/>
  <c r="M72" i="5" s="1"/>
  <c r="G60" i="5"/>
  <c r="L74" i="5" s="1"/>
  <c r="G168" i="5"/>
  <c r="G137" i="5"/>
  <c r="G253" i="5"/>
  <c r="M101" i="5" s="1"/>
  <c r="G257" i="5"/>
  <c r="G261" i="5"/>
  <c r="N102" i="5" s="1"/>
  <c r="G265" i="5"/>
  <c r="G269" i="5"/>
  <c r="G5" i="5"/>
  <c r="M67" i="5" s="1"/>
  <c r="G13" i="5"/>
  <c r="G17" i="5"/>
  <c r="G21" i="5"/>
  <c r="L69" i="5" s="1"/>
  <c r="G25" i="5"/>
  <c r="G29" i="5"/>
  <c r="G34" i="5"/>
  <c r="G271" i="5"/>
  <c r="M105" i="5" s="1"/>
  <c r="G276" i="5"/>
  <c r="L106" i="5" s="1"/>
  <c r="G280" i="5"/>
  <c r="G284" i="5"/>
  <c r="G287" i="5"/>
  <c r="G362" i="5"/>
  <c r="G371" i="5"/>
  <c r="G379" i="5"/>
  <c r="M122" i="5" s="1"/>
  <c r="G384" i="5"/>
  <c r="G44" i="5"/>
  <c r="G53" i="5"/>
  <c r="G77" i="5"/>
  <c r="G93" i="5"/>
  <c r="G172" i="5"/>
  <c r="G135" i="5"/>
  <c r="G148" i="5"/>
  <c r="N86" i="5" s="1"/>
  <c r="G155" i="5"/>
  <c r="G318" i="5"/>
  <c r="G322" i="5"/>
  <c r="G356" i="5"/>
  <c r="G360" i="5"/>
  <c r="L119" i="5" s="1"/>
  <c r="G365" i="5"/>
  <c r="G369" i="5"/>
  <c r="G373" i="5"/>
  <c r="L121" i="5" s="1"/>
  <c r="G376" i="5"/>
  <c r="N121" i="5" s="1"/>
  <c r="G382" i="5"/>
  <c r="G42" i="5"/>
  <c r="G51" i="5"/>
  <c r="G59" i="5"/>
  <c r="G62" i="5"/>
  <c r="G81" i="5"/>
  <c r="L76" i="5" s="1"/>
  <c r="G160" i="5"/>
  <c r="G139" i="5"/>
  <c r="G156" i="5"/>
  <c r="G278" i="5"/>
  <c r="M106" i="5" s="1"/>
  <c r="G282" i="5"/>
  <c r="N106" i="5" s="1"/>
  <c r="G285" i="5"/>
  <c r="M107" i="5" s="1"/>
  <c r="G357" i="5"/>
  <c r="N118" i="5" s="1"/>
  <c r="G367" i="5"/>
  <c r="L120" i="5" s="1"/>
  <c r="G374" i="5"/>
  <c r="G40" i="5"/>
  <c r="G49" i="5"/>
  <c r="M73" i="5" s="1"/>
  <c r="G57" i="5"/>
  <c r="G66" i="5"/>
  <c r="G85" i="5"/>
  <c r="G164" i="5"/>
  <c r="G178" i="5"/>
  <c r="N91" i="5" s="1"/>
  <c r="G143" i="5"/>
  <c r="G150" i="5"/>
  <c r="G61" i="5"/>
  <c r="G67" i="5"/>
  <c r="G69" i="5"/>
  <c r="G78" i="5"/>
  <c r="G80" i="5"/>
  <c r="G84" i="5"/>
  <c r="G90" i="5"/>
  <c r="G92" i="5"/>
  <c r="G159" i="5"/>
  <c r="M89" i="5" s="1"/>
  <c r="G161" i="5"/>
  <c r="G163" i="5"/>
  <c r="G165" i="5"/>
  <c r="N89" i="5" s="1"/>
  <c r="G167" i="5"/>
  <c r="G169" i="5"/>
  <c r="G171" i="5"/>
  <c r="G173" i="5"/>
  <c r="G175" i="5"/>
  <c r="G177" i="5"/>
  <c r="G179" i="5"/>
  <c r="G181" i="5"/>
  <c r="G132" i="5"/>
  <c r="G134" i="5"/>
  <c r="G136" i="5"/>
  <c r="G138" i="5"/>
  <c r="N85" i="5" s="1"/>
  <c r="G140" i="5"/>
  <c r="G142" i="5"/>
  <c r="G144" i="5"/>
  <c r="G146" i="5"/>
  <c r="G151" i="5"/>
  <c r="G153" i="5"/>
  <c r="G63" i="5"/>
  <c r="G65" i="5"/>
  <c r="G74" i="5"/>
  <c r="G76" i="5"/>
  <c r="N75" i="5" s="1"/>
  <c r="G82" i="5"/>
  <c r="M76" i="5" s="1"/>
  <c r="G86" i="5"/>
  <c r="G88" i="5"/>
  <c r="G94" i="5"/>
  <c r="G149" i="5"/>
  <c r="G157" i="5"/>
  <c r="N73" i="5" l="1"/>
  <c r="M115" i="5"/>
  <c r="N120" i="5"/>
  <c r="M90" i="5"/>
  <c r="L111" i="5"/>
  <c r="L86" i="5"/>
  <c r="N110" i="5"/>
  <c r="O110" i="5" s="1"/>
  <c r="M94" i="5"/>
  <c r="M91" i="5"/>
  <c r="N97" i="5"/>
  <c r="L85" i="5"/>
  <c r="L95" i="5"/>
  <c r="M116" i="5"/>
  <c r="M113" i="5" s="1"/>
  <c r="M108" i="5"/>
  <c r="O108" i="5" s="1"/>
  <c r="N107" i="5"/>
  <c r="O107" i="5" s="1"/>
  <c r="N87" i="5"/>
  <c r="N81" i="5"/>
  <c r="L94" i="5"/>
  <c r="M86" i="5"/>
  <c r="L90" i="5"/>
  <c r="N114" i="5"/>
  <c r="O114" i="5" s="1"/>
  <c r="N100" i="5"/>
  <c r="N111" i="5"/>
  <c r="O111" i="5" s="1"/>
  <c r="L87" i="5"/>
  <c r="N112" i="5"/>
  <c r="N122" i="5"/>
  <c r="O122" i="5" s="1"/>
  <c r="M96" i="5"/>
  <c r="M99" i="5"/>
  <c r="L89" i="5"/>
  <c r="O89" i="5" s="1"/>
  <c r="M121" i="5"/>
  <c r="O121" i="5" s="1"/>
  <c r="L118" i="5"/>
  <c r="M87" i="5"/>
  <c r="M97" i="5"/>
  <c r="N95" i="5"/>
  <c r="L93" i="5"/>
  <c r="N99" i="5"/>
  <c r="N103" i="5"/>
  <c r="O103" i="5" s="1"/>
  <c r="N115" i="5"/>
  <c r="O115" i="5" s="1"/>
  <c r="M120" i="5"/>
  <c r="O120" i="5" s="1"/>
  <c r="M85" i="5"/>
  <c r="N90" i="5"/>
  <c r="N88" i="5" s="1"/>
  <c r="L99" i="5"/>
  <c r="L101" i="5"/>
  <c r="O101" i="5" s="1"/>
  <c r="N119" i="5"/>
  <c r="N94" i="5"/>
  <c r="M119" i="5"/>
  <c r="N105" i="5"/>
  <c r="N104" i="5" s="1"/>
  <c r="M118" i="5"/>
  <c r="M102" i="5"/>
  <c r="O102" i="5" s="1"/>
  <c r="L100" i="5"/>
  <c r="M74" i="5"/>
  <c r="M71" i="5" s="1"/>
  <c r="N72" i="5"/>
  <c r="N71" i="5" s="1"/>
  <c r="N69" i="5"/>
  <c r="O69" i="5" s="1"/>
  <c r="O77" i="5"/>
  <c r="O112" i="5"/>
  <c r="O70" i="5"/>
  <c r="M88" i="5"/>
  <c r="O76" i="5"/>
  <c r="O80" i="5"/>
  <c r="O83" i="5"/>
  <c r="O68" i="5"/>
  <c r="L78" i="5"/>
  <c r="O79" i="5"/>
  <c r="N84" i="5"/>
  <c r="O106" i="5"/>
  <c r="M66" i="5"/>
  <c r="O82" i="5"/>
  <c r="O97" i="5"/>
  <c r="O93" i="5"/>
  <c r="N78" i="5"/>
  <c r="O81" i="5"/>
  <c r="O67" i="5"/>
  <c r="L66" i="5"/>
  <c r="L109" i="5"/>
  <c r="L113" i="5"/>
  <c r="M109" i="5"/>
  <c r="O91" i="5"/>
  <c r="L71" i="5"/>
  <c r="M78" i="5"/>
  <c r="O96" i="5"/>
  <c r="O73" i="5"/>
  <c r="O75" i="5"/>
  <c r="L104" i="5"/>
  <c r="F19" i="13"/>
  <c r="K8" i="13"/>
  <c r="L19" i="13"/>
  <c r="I19" i="13"/>
  <c r="H19" i="13"/>
  <c r="G19" i="13"/>
  <c r="J19" i="13"/>
  <c r="K18" i="13"/>
  <c r="K17" i="13"/>
  <c r="K16" i="13"/>
  <c r="K15" i="13"/>
  <c r="K14" i="13"/>
  <c r="K13" i="13"/>
  <c r="K12" i="13"/>
  <c r="K11" i="13"/>
  <c r="K10" i="13"/>
  <c r="K9" i="13"/>
  <c r="O86" i="5" l="1"/>
  <c r="O87" i="5"/>
  <c r="N109" i="5"/>
  <c r="M92" i="5"/>
  <c r="N117" i="5"/>
  <c r="O90" i="5"/>
  <c r="O95" i="5"/>
  <c r="N92" i="5"/>
  <c r="O105" i="5"/>
  <c r="L84" i="5"/>
  <c r="O99" i="5"/>
  <c r="O72" i="5"/>
  <c r="O85" i="5"/>
  <c r="M84" i="5"/>
  <c r="N98" i="5"/>
  <c r="L92" i="5"/>
  <c r="L98" i="5"/>
  <c r="O116" i="5"/>
  <c r="O100" i="5"/>
  <c r="M104" i="5"/>
  <c r="O104" i="5" s="1"/>
  <c r="N113" i="5"/>
  <c r="O113" i="5" s="1"/>
  <c r="O118" i="5"/>
  <c r="M98" i="5"/>
  <c r="O94" i="5"/>
  <c r="O119" i="5"/>
  <c r="L117" i="5"/>
  <c r="L88" i="5"/>
  <c r="O88" i="5" s="1"/>
  <c r="N66" i="5"/>
  <c r="O66" i="5" s="1"/>
  <c r="O74" i="5"/>
  <c r="O109" i="5"/>
  <c r="O71" i="5"/>
  <c r="O78" i="5"/>
  <c r="H472" i="39"/>
  <c r="E472" i="39"/>
  <c r="H464" i="39"/>
  <c r="E464" i="39"/>
  <c r="H468" i="39"/>
  <c r="E468" i="39"/>
  <c r="E465" i="39"/>
  <c r="H465" i="39"/>
  <c r="E469" i="39"/>
  <c r="H469" i="39"/>
  <c r="E466" i="39"/>
  <c r="H466" i="39"/>
  <c r="E470" i="39"/>
  <c r="H470" i="39"/>
  <c r="H463" i="39"/>
  <c r="E463" i="39"/>
  <c r="H467" i="39"/>
  <c r="E467" i="39"/>
  <c r="H471" i="39"/>
  <c r="E471" i="39"/>
  <c r="H462" i="39"/>
  <c r="E462" i="39"/>
  <c r="K19" i="13"/>
  <c r="O92" i="5" l="1"/>
  <c r="O98" i="5"/>
  <c r="O117" i="5"/>
  <c r="O84" i="5"/>
  <c r="U4" i="5"/>
  <c r="U5" i="5"/>
  <c r="U6" i="5"/>
  <c r="U7" i="5"/>
  <c r="U8" i="5"/>
  <c r="U9" i="5"/>
  <c r="U11" i="5"/>
  <c r="U12" i="5"/>
  <c r="U13" i="5"/>
  <c r="U3" i="5"/>
  <c r="T13" i="5"/>
  <c r="T12" i="5"/>
  <c r="T11" i="5"/>
  <c r="T9" i="5"/>
  <c r="T8" i="5"/>
  <c r="T7" i="5"/>
  <c r="T6" i="5"/>
  <c r="T5" i="5"/>
  <c r="T4" i="5"/>
  <c r="B49" i="7" l="1"/>
  <c r="B57" i="7"/>
  <c r="B65" i="7"/>
  <c r="B73" i="7"/>
  <c r="B69" i="7"/>
  <c r="B62" i="7"/>
  <c r="B63" i="7"/>
  <c r="B56" i="7"/>
  <c r="B50" i="7"/>
  <c r="B58" i="7"/>
  <c r="B66" i="7"/>
  <c r="B74" i="7"/>
  <c r="B77" i="7"/>
  <c r="B55" i="7"/>
  <c r="B64" i="7"/>
  <c r="B59" i="7"/>
  <c r="B67" i="7"/>
  <c r="B75" i="7"/>
  <c r="B61" i="7"/>
  <c r="B70" i="7"/>
  <c r="B48" i="7"/>
  <c r="B52" i="7"/>
  <c r="B60" i="7"/>
  <c r="B68" i="7"/>
  <c r="B76" i="7"/>
  <c r="B53" i="7"/>
  <c r="B54" i="7"/>
  <c r="B71" i="7"/>
  <c r="B72" i="7"/>
  <c r="B30" i="7"/>
  <c r="B38" i="7"/>
  <c r="B31" i="7"/>
  <c r="B39" i="7"/>
  <c r="B33" i="7"/>
  <c r="B32" i="7"/>
  <c r="B35" i="7"/>
  <c r="B36" i="7"/>
  <c r="B29" i="7"/>
  <c r="B37" i="7"/>
  <c r="B40" i="7"/>
  <c r="B34" i="7"/>
  <c r="B80" i="7"/>
  <c r="B84" i="7"/>
  <c r="B88" i="7"/>
  <c r="B20" i="7"/>
  <c r="B81" i="7"/>
  <c r="B78" i="7"/>
  <c r="B82" i="7"/>
  <c r="B86" i="7"/>
  <c r="B22" i="7"/>
  <c r="B18" i="7"/>
  <c r="B79" i="7"/>
  <c r="B83" i="7"/>
  <c r="B87" i="7"/>
  <c r="B21" i="7"/>
  <c r="B14" i="7"/>
  <c r="B17" i="7"/>
  <c r="B16" i="7"/>
  <c r="B15" i="7"/>
  <c r="B12" i="7"/>
  <c r="B11" i="7"/>
  <c r="B44" i="7"/>
  <c r="B24" i="7"/>
  <c r="B27" i="7"/>
  <c r="B42" i="7"/>
  <c r="B46" i="7"/>
  <c r="B23" i="7"/>
  <c r="B45" i="7"/>
  <c r="B25" i="7"/>
  <c r="B28" i="7"/>
  <c r="B43" i="7"/>
  <c r="B47" i="7"/>
  <c r="F49" i="14"/>
  <c r="I6" i="56" l="1"/>
  <c r="K3" i="51"/>
  <c r="J3" i="51"/>
  <c r="H6" i="56"/>
  <c r="E6" i="56"/>
  <c r="G3" i="51"/>
  <c r="H3" i="51"/>
  <c r="F6" i="56"/>
  <c r="I3" i="51"/>
  <c r="G6" i="56"/>
  <c r="R43" i="5"/>
  <c r="R13" i="5"/>
  <c r="R38" i="5"/>
  <c r="R8" i="5"/>
  <c r="R39" i="5"/>
  <c r="R9" i="5"/>
  <c r="R12" i="5"/>
  <c r="R42" i="5"/>
  <c r="R33" i="5"/>
  <c r="R3" i="5"/>
  <c r="R11" i="5"/>
  <c r="R41" i="5"/>
  <c r="R34" i="5"/>
  <c r="R4" i="5"/>
  <c r="R37" i="5"/>
  <c r="R7" i="5"/>
  <c r="R36" i="5"/>
  <c r="R6" i="5"/>
  <c r="R5" i="5"/>
  <c r="R35" i="5"/>
  <c r="R40" i="5"/>
  <c r="R10" i="5"/>
  <c r="C7" i="6"/>
  <c r="H11" i="6" s="1"/>
  <c r="E34" i="10" l="1"/>
  <c r="N6" i="60"/>
  <c r="M6" i="60"/>
  <c r="K6" i="60"/>
  <c r="J6" i="60"/>
  <c r="L6" i="60"/>
  <c r="E35" i="21"/>
  <c r="E57" i="18"/>
  <c r="E57" i="10"/>
  <c r="E33" i="1"/>
  <c r="E42" i="19"/>
  <c r="E60" i="8"/>
  <c r="E33" i="10"/>
  <c r="E40" i="16"/>
  <c r="E43" i="19"/>
  <c r="E61" i="8"/>
  <c r="E35" i="10"/>
  <c r="E28" i="19"/>
  <c r="E62" i="8"/>
  <c r="E33" i="20"/>
  <c r="E30" i="17"/>
  <c r="E67" i="16"/>
  <c r="E31" i="10"/>
  <c r="E58" i="20"/>
  <c r="E34" i="1"/>
  <c r="E68" i="16"/>
  <c r="E32" i="10"/>
  <c r="E42" i="20"/>
  <c r="E35" i="1"/>
  <c r="E69" i="16"/>
  <c r="G37" i="1"/>
  <c r="G52" i="1"/>
  <c r="G61" i="1"/>
  <c r="G68" i="1"/>
  <c r="H12" i="6"/>
  <c r="H45" i="6"/>
  <c r="D46" i="6"/>
  <c r="D45" i="6"/>
  <c r="H44" i="6"/>
  <c r="D41" i="6"/>
  <c r="D42" i="6"/>
  <c r="K48" i="12"/>
  <c r="J48" i="12"/>
  <c r="I48" i="12"/>
  <c r="H48" i="12"/>
  <c r="H34" i="12"/>
  <c r="G48" i="12"/>
  <c r="K34" i="12"/>
  <c r="J34" i="12"/>
  <c r="I34" i="12"/>
  <c r="G34" i="12"/>
  <c r="K33" i="14"/>
  <c r="H45" i="14"/>
  <c r="I45" i="14"/>
  <c r="J45" i="14"/>
  <c r="G33" i="14"/>
  <c r="H33" i="14"/>
  <c r="K45" i="14"/>
  <c r="I33" i="14"/>
  <c r="J33" i="14"/>
  <c r="G45" i="14"/>
  <c r="A2" i="58"/>
  <c r="A3" i="58"/>
  <c r="G54" i="17"/>
  <c r="G53" i="20"/>
  <c r="G35" i="18"/>
  <c r="G33" i="17"/>
  <c r="G45" i="20"/>
  <c r="G44" i="17"/>
  <c r="G38" i="21"/>
  <c r="G93" i="16"/>
  <c r="G36" i="20"/>
  <c r="G60" i="10"/>
  <c r="G51" i="21"/>
  <c r="G83" i="16"/>
  <c r="G46" i="19"/>
  <c r="G54" i="8"/>
  <c r="G37" i="10"/>
  <c r="G37" i="8"/>
  <c r="G72" i="16"/>
  <c r="G31" i="19"/>
  <c r="G61" i="20"/>
  <c r="G48" i="10"/>
  <c r="G47" i="8"/>
  <c r="G57" i="16"/>
  <c r="G78" i="18"/>
  <c r="G46" i="18"/>
  <c r="G65" i="8"/>
  <c r="G43" i="16"/>
  <c r="G60" i="18"/>
  <c r="C6" i="6"/>
  <c r="C6" i="32"/>
  <c r="E3" i="55"/>
  <c r="C7" i="32"/>
  <c r="D3" i="55"/>
  <c r="C3" i="55"/>
  <c r="D4" i="39"/>
  <c r="C4" i="32"/>
  <c r="D43" i="6"/>
  <c r="I22" i="6"/>
  <c r="N28" i="16"/>
  <c r="N21" i="19"/>
  <c r="N23" i="17"/>
  <c r="N25" i="1"/>
  <c r="N25" i="8"/>
  <c r="Q23" i="17"/>
  <c r="Q21" i="14"/>
  <c r="Q25" i="20"/>
  <c r="Q25" i="18"/>
  <c r="Q23" i="10"/>
  <c r="Q21" i="21"/>
  <c r="Q21" i="12"/>
  <c r="Q28" i="16"/>
  <c r="Q25" i="1"/>
  <c r="N21" i="14"/>
  <c r="N25" i="20"/>
  <c r="N25" i="18"/>
  <c r="N23" i="10"/>
  <c r="N21" i="21"/>
  <c r="N21" i="12"/>
  <c r="Q21" i="19"/>
  <c r="Q25" i="8"/>
  <c r="P2" i="6"/>
  <c r="D9" i="6"/>
  <c r="C4" i="6"/>
  <c r="D14" i="6"/>
  <c r="H13" i="6"/>
  <c r="H15" i="6"/>
  <c r="D15" i="6"/>
  <c r="D16" i="56"/>
  <c r="D10" i="56"/>
  <c r="D17" i="56"/>
  <c r="D11" i="56"/>
  <c r="D9" i="56"/>
  <c r="D18" i="56"/>
  <c r="D4" i="56"/>
  <c r="D9" i="51"/>
  <c r="D21" i="6"/>
  <c r="D22" i="6"/>
  <c r="D12" i="8"/>
  <c r="D15" i="34"/>
  <c r="D10" i="51"/>
  <c r="D4" i="51"/>
  <c r="E67" i="8"/>
  <c r="D13" i="51"/>
  <c r="D11" i="51"/>
  <c r="D12" i="51"/>
  <c r="D8" i="51"/>
  <c r="O48" i="12"/>
  <c r="O54" i="8"/>
  <c r="O51" i="21"/>
  <c r="O61" i="1"/>
  <c r="O60" i="10"/>
  <c r="O54" i="17"/>
  <c r="O78" i="18"/>
  <c r="O27" i="18"/>
  <c r="O61" i="20"/>
  <c r="O27" i="20"/>
  <c r="O93" i="16"/>
  <c r="O43" i="16"/>
  <c r="D26" i="20"/>
  <c r="D24" i="10"/>
  <c r="D22" i="14"/>
  <c r="D14" i="14"/>
  <c r="D21" i="16"/>
  <c r="D17" i="16"/>
  <c r="D20" i="20"/>
  <c r="D16" i="20"/>
  <c r="D16" i="19"/>
  <c r="H23" i="19"/>
  <c r="P23" i="19"/>
  <c r="D20" i="18"/>
  <c r="D16" i="18"/>
  <c r="D18" i="17"/>
  <c r="D14" i="17"/>
  <c r="D16" i="10"/>
  <c r="D18" i="1"/>
  <c r="C15" i="1"/>
  <c r="D16" i="21"/>
  <c r="C15" i="17"/>
  <c r="O34" i="12"/>
  <c r="O47" i="8"/>
  <c r="O38" i="21"/>
  <c r="O52" i="1"/>
  <c r="O48" i="10"/>
  <c r="O44" i="17"/>
  <c r="O60" i="18"/>
  <c r="O46" i="19"/>
  <c r="O53" i="20"/>
  <c r="O23" i="14"/>
  <c r="O83" i="16"/>
  <c r="O30" i="16"/>
  <c r="D22" i="19"/>
  <c r="D26" i="1"/>
  <c r="C17" i="14"/>
  <c r="C24" i="16"/>
  <c r="C20" i="16"/>
  <c r="C16" i="16"/>
  <c r="C19" i="20"/>
  <c r="C15" i="20"/>
  <c r="C23" i="19"/>
  <c r="I23" i="19"/>
  <c r="Q23" i="19"/>
  <c r="C15" i="19"/>
  <c r="C19" i="18"/>
  <c r="C15" i="18"/>
  <c r="C17" i="17"/>
  <c r="C19" i="10"/>
  <c r="C15" i="10"/>
  <c r="D20" i="1"/>
  <c r="C17" i="1"/>
  <c r="C15" i="21"/>
  <c r="G23" i="19"/>
  <c r="K23" i="19"/>
  <c r="C17" i="18"/>
  <c r="C21" i="1"/>
  <c r="D16" i="1"/>
  <c r="O23" i="12"/>
  <c r="O37" i="8"/>
  <c r="O23" i="21"/>
  <c r="O37" i="1"/>
  <c r="O37" i="10"/>
  <c r="O33" i="17"/>
  <c r="O46" i="18"/>
  <c r="O31" i="19"/>
  <c r="O45" i="20"/>
  <c r="O33" i="14"/>
  <c r="O72" i="16"/>
  <c r="G30" i="16"/>
  <c r="D26" i="18"/>
  <c r="D22" i="21"/>
  <c r="D16" i="14"/>
  <c r="D23" i="16"/>
  <c r="D19" i="16"/>
  <c r="D15" i="16"/>
  <c r="D18" i="20"/>
  <c r="D14" i="20"/>
  <c r="E23" i="19"/>
  <c r="J23" i="19"/>
  <c r="R23" i="19"/>
  <c r="D14" i="19"/>
  <c r="D18" i="18"/>
  <c r="D14" i="18"/>
  <c r="D16" i="17"/>
  <c r="D18" i="10"/>
  <c r="D14" i="10"/>
  <c r="C19" i="1"/>
  <c r="D14" i="1"/>
  <c r="D14" i="21"/>
  <c r="C17" i="19"/>
  <c r="C21" i="18"/>
  <c r="C17" i="10"/>
  <c r="C17" i="21"/>
  <c r="O65" i="8"/>
  <c r="O27" i="8"/>
  <c r="O68" i="1"/>
  <c r="O27" i="1"/>
  <c r="O25" i="10"/>
  <c r="O25" i="17"/>
  <c r="O35" i="18"/>
  <c r="O23" i="19"/>
  <c r="O36" i="20"/>
  <c r="O45" i="14"/>
  <c r="O57" i="16"/>
  <c r="D29" i="16"/>
  <c r="D24" i="17"/>
  <c r="D26" i="8"/>
  <c r="C15" i="14"/>
  <c r="C22" i="16"/>
  <c r="C18" i="16"/>
  <c r="C21" i="20"/>
  <c r="C17" i="20"/>
  <c r="S23" i="19"/>
  <c r="C19" i="17"/>
  <c r="S65" i="8"/>
  <c r="S54" i="8"/>
  <c r="S47" i="8"/>
  <c r="S37" i="8"/>
  <c r="S27" i="8"/>
  <c r="P54" i="8"/>
  <c r="P47" i="8"/>
  <c r="P27" i="8"/>
  <c r="R65" i="8"/>
  <c r="R54" i="8"/>
  <c r="R47" i="8"/>
  <c r="R37" i="8"/>
  <c r="R27" i="8"/>
  <c r="Q65" i="8"/>
  <c r="Q54" i="8"/>
  <c r="Q47" i="8"/>
  <c r="Q37" i="8"/>
  <c r="Q27" i="8"/>
  <c r="P37" i="8"/>
  <c r="P65" i="8"/>
  <c r="C21" i="8"/>
  <c r="C17" i="8"/>
  <c r="D47" i="12"/>
  <c r="C15" i="8"/>
  <c r="D22" i="12"/>
  <c r="D14" i="8"/>
  <c r="D20" i="8"/>
  <c r="D16" i="8"/>
  <c r="D33" i="12"/>
  <c r="C19" i="8"/>
  <c r="D18" i="8"/>
  <c r="H43" i="6"/>
  <c r="D4" i="38"/>
  <c r="M9" i="32"/>
  <c r="J9" i="32"/>
  <c r="N6" i="49"/>
  <c r="J6" i="49"/>
  <c r="D4" i="50"/>
  <c r="E14" i="48"/>
  <c r="M6" i="49"/>
  <c r="E10" i="48"/>
  <c r="E12" i="48"/>
  <c r="L6" i="49"/>
  <c r="D5" i="50"/>
  <c r="E18" i="48"/>
  <c r="K6" i="49"/>
  <c r="E16" i="48"/>
  <c r="D5" i="48"/>
  <c r="D4" i="48"/>
  <c r="I3" i="14"/>
  <c r="I3" i="20"/>
  <c r="I3" i="18"/>
  <c r="H3" i="19"/>
  <c r="H3" i="14"/>
  <c r="H3" i="20"/>
  <c r="H3" i="18"/>
  <c r="H3" i="16"/>
  <c r="I3" i="16"/>
  <c r="I3" i="19"/>
  <c r="C13" i="10"/>
  <c r="I7" i="21"/>
  <c r="I7" i="12"/>
  <c r="I9" i="21"/>
  <c r="G6" i="39"/>
  <c r="D6" i="39"/>
  <c r="H41" i="6"/>
  <c r="P23" i="21"/>
  <c r="H23" i="21"/>
  <c r="S38" i="21"/>
  <c r="K38" i="21"/>
  <c r="R51" i="21"/>
  <c r="J51" i="21"/>
  <c r="E51" i="21"/>
  <c r="Q27" i="1"/>
  <c r="I27" i="1"/>
  <c r="C27" i="1"/>
  <c r="P37" i="1"/>
  <c r="H37" i="1"/>
  <c r="S52" i="1"/>
  <c r="K52" i="1"/>
  <c r="R61" i="1"/>
  <c r="J61" i="1"/>
  <c r="E61" i="1"/>
  <c r="Q68" i="1"/>
  <c r="I68" i="1"/>
  <c r="C68" i="1"/>
  <c r="P25" i="10"/>
  <c r="H25" i="10"/>
  <c r="S37" i="10"/>
  <c r="K37" i="10"/>
  <c r="R48" i="10"/>
  <c r="J48" i="10"/>
  <c r="E48" i="10"/>
  <c r="Q60" i="10"/>
  <c r="I60" i="10"/>
  <c r="C60" i="10"/>
  <c r="P25" i="17"/>
  <c r="H25" i="17"/>
  <c r="S33" i="17"/>
  <c r="K33" i="17"/>
  <c r="R44" i="17"/>
  <c r="J44" i="17"/>
  <c r="E44" i="17"/>
  <c r="Q54" i="17"/>
  <c r="I54" i="17"/>
  <c r="C54" i="17"/>
  <c r="P27" i="18"/>
  <c r="H27" i="18"/>
  <c r="S35" i="18"/>
  <c r="K35" i="18"/>
  <c r="R46" i="18"/>
  <c r="J46" i="18"/>
  <c r="E46" i="18"/>
  <c r="Q60" i="18"/>
  <c r="I60" i="18"/>
  <c r="C60" i="18"/>
  <c r="P78" i="18"/>
  <c r="H78" i="18"/>
  <c r="R31" i="19"/>
  <c r="J31" i="19"/>
  <c r="E31" i="19"/>
  <c r="Q46" i="19"/>
  <c r="I46" i="19"/>
  <c r="C46" i="19"/>
  <c r="P27" i="20"/>
  <c r="H27" i="20"/>
  <c r="S36" i="20"/>
  <c r="K36" i="20"/>
  <c r="R45" i="20"/>
  <c r="J45" i="20"/>
  <c r="E45" i="20"/>
  <c r="Q53" i="20"/>
  <c r="I53" i="20"/>
  <c r="C53" i="20"/>
  <c r="P61" i="20"/>
  <c r="H61" i="20"/>
  <c r="S30" i="16"/>
  <c r="K30" i="16"/>
  <c r="R43" i="16"/>
  <c r="J43" i="16"/>
  <c r="E43" i="16"/>
  <c r="Q57" i="16"/>
  <c r="I57" i="16"/>
  <c r="C57" i="16"/>
  <c r="P72" i="16"/>
  <c r="H72" i="16"/>
  <c r="S83" i="16"/>
  <c r="K83" i="16"/>
  <c r="R93" i="16"/>
  <c r="J93" i="16"/>
  <c r="E93" i="16"/>
  <c r="Q23" i="14"/>
  <c r="I23" i="14"/>
  <c r="C23" i="14"/>
  <c r="P33" i="14"/>
  <c r="S45" i="14"/>
  <c r="I9" i="14"/>
  <c r="I7" i="16"/>
  <c r="S23" i="21"/>
  <c r="K23" i="21"/>
  <c r="G23" i="21"/>
  <c r="R38" i="21"/>
  <c r="J38" i="21"/>
  <c r="E38" i="21"/>
  <c r="Q51" i="21"/>
  <c r="I51" i="21"/>
  <c r="C51" i="21"/>
  <c r="P27" i="1"/>
  <c r="H27" i="1"/>
  <c r="S37" i="1"/>
  <c r="K37" i="1"/>
  <c r="R52" i="1"/>
  <c r="J52" i="1"/>
  <c r="E52" i="1"/>
  <c r="Q61" i="1"/>
  <c r="I61" i="1"/>
  <c r="C61" i="1"/>
  <c r="P68" i="1"/>
  <c r="H68" i="1"/>
  <c r="S25" i="10"/>
  <c r="K25" i="10"/>
  <c r="G25" i="10"/>
  <c r="R37" i="10"/>
  <c r="J37" i="10"/>
  <c r="E37" i="10"/>
  <c r="Q48" i="10"/>
  <c r="I48" i="10"/>
  <c r="C48" i="10"/>
  <c r="P60" i="10"/>
  <c r="H60" i="10"/>
  <c r="S25" i="17"/>
  <c r="K25" i="17"/>
  <c r="G25" i="17"/>
  <c r="R33" i="17"/>
  <c r="J33" i="17"/>
  <c r="E33" i="17"/>
  <c r="Q44" i="17"/>
  <c r="I44" i="17"/>
  <c r="C44" i="17"/>
  <c r="P54" i="17"/>
  <c r="H54" i="17"/>
  <c r="S27" i="18"/>
  <c r="K27" i="18"/>
  <c r="G27" i="18"/>
  <c r="R35" i="18"/>
  <c r="J35" i="18"/>
  <c r="E35" i="18"/>
  <c r="Q46" i="18"/>
  <c r="I46" i="18"/>
  <c r="C46" i="18"/>
  <c r="P60" i="18"/>
  <c r="H60" i="18"/>
  <c r="S78" i="18"/>
  <c r="K78" i="18"/>
  <c r="Q31" i="19"/>
  <c r="I31" i="19"/>
  <c r="C31" i="19"/>
  <c r="P46" i="19"/>
  <c r="H46" i="19"/>
  <c r="S27" i="20"/>
  <c r="K27" i="20"/>
  <c r="G27" i="20"/>
  <c r="R36" i="20"/>
  <c r="J36" i="20"/>
  <c r="E36" i="20"/>
  <c r="Q45" i="20"/>
  <c r="I45" i="20"/>
  <c r="C45" i="20"/>
  <c r="P53" i="20"/>
  <c r="H53" i="20"/>
  <c r="S61" i="20"/>
  <c r="K61" i="20"/>
  <c r="R30" i="16"/>
  <c r="J30" i="16"/>
  <c r="E30" i="16"/>
  <c r="Q43" i="16"/>
  <c r="I43" i="16"/>
  <c r="C43" i="16"/>
  <c r="P57" i="16"/>
  <c r="H57" i="16"/>
  <c r="S72" i="16"/>
  <c r="K72" i="16"/>
  <c r="R83" i="16"/>
  <c r="J83" i="16"/>
  <c r="E83" i="16"/>
  <c r="Q93" i="16"/>
  <c r="I93" i="16"/>
  <c r="C93" i="16"/>
  <c r="P23" i="14"/>
  <c r="H23" i="14"/>
  <c r="S33" i="14"/>
  <c r="R45" i="14"/>
  <c r="E45" i="14"/>
  <c r="I7" i="14"/>
  <c r="R23" i="21"/>
  <c r="J23" i="21"/>
  <c r="E23" i="21"/>
  <c r="Q38" i="21"/>
  <c r="I38" i="21"/>
  <c r="C38" i="21"/>
  <c r="P51" i="21"/>
  <c r="H51" i="21"/>
  <c r="S27" i="1"/>
  <c r="K27" i="1"/>
  <c r="G27" i="1"/>
  <c r="R37" i="1"/>
  <c r="J37" i="1"/>
  <c r="E37" i="1"/>
  <c r="Q52" i="1"/>
  <c r="I52" i="1"/>
  <c r="C52" i="1"/>
  <c r="P61" i="1"/>
  <c r="H61" i="1"/>
  <c r="S68" i="1"/>
  <c r="K68" i="1"/>
  <c r="R25" i="10"/>
  <c r="J25" i="10"/>
  <c r="E25" i="10"/>
  <c r="Q37" i="10"/>
  <c r="I37" i="10"/>
  <c r="C37" i="10"/>
  <c r="P48" i="10"/>
  <c r="H48" i="10"/>
  <c r="S60" i="10"/>
  <c r="K60" i="10"/>
  <c r="R25" i="17"/>
  <c r="J25" i="17"/>
  <c r="E25" i="17"/>
  <c r="Q33" i="17"/>
  <c r="I33" i="17"/>
  <c r="C33" i="17"/>
  <c r="P44" i="17"/>
  <c r="H44" i="17"/>
  <c r="S54" i="17"/>
  <c r="K54" i="17"/>
  <c r="R27" i="18"/>
  <c r="J27" i="18"/>
  <c r="E27" i="18"/>
  <c r="Q35" i="18"/>
  <c r="I35" i="18"/>
  <c r="C35" i="18"/>
  <c r="P46" i="18"/>
  <c r="H46" i="18"/>
  <c r="S60" i="18"/>
  <c r="K60" i="18"/>
  <c r="R78" i="18"/>
  <c r="J78" i="18"/>
  <c r="E78" i="18"/>
  <c r="P31" i="19"/>
  <c r="H31" i="19"/>
  <c r="S46" i="19"/>
  <c r="K46" i="19"/>
  <c r="R27" i="20"/>
  <c r="J27" i="20"/>
  <c r="E27" i="20"/>
  <c r="Q36" i="20"/>
  <c r="I36" i="20"/>
  <c r="C36" i="20"/>
  <c r="P45" i="20"/>
  <c r="H45" i="20"/>
  <c r="S53" i="20"/>
  <c r="K53" i="20"/>
  <c r="R61" i="20"/>
  <c r="J61" i="20"/>
  <c r="E61" i="20"/>
  <c r="Q30" i="16"/>
  <c r="I30" i="16"/>
  <c r="C30" i="16"/>
  <c r="P43" i="16"/>
  <c r="H43" i="16"/>
  <c r="S57" i="16"/>
  <c r="K57" i="16"/>
  <c r="R72" i="16"/>
  <c r="J72" i="16"/>
  <c r="E72" i="16"/>
  <c r="Q83" i="16"/>
  <c r="I83" i="16"/>
  <c r="C83" i="16"/>
  <c r="P93" i="16"/>
  <c r="H93" i="16"/>
  <c r="S23" i="14"/>
  <c r="K23" i="14"/>
  <c r="G23" i="14"/>
  <c r="R33" i="14"/>
  <c r="E33" i="14"/>
  <c r="Q45" i="14"/>
  <c r="C45" i="14"/>
  <c r="I9" i="20"/>
  <c r="Q23" i="21"/>
  <c r="I23" i="21"/>
  <c r="C23" i="21"/>
  <c r="P38" i="21"/>
  <c r="H38" i="21"/>
  <c r="S51" i="21"/>
  <c r="K51" i="21"/>
  <c r="R27" i="1"/>
  <c r="J27" i="1"/>
  <c r="E27" i="1"/>
  <c r="Q37" i="1"/>
  <c r="I37" i="1"/>
  <c r="C37" i="1"/>
  <c r="P52" i="1"/>
  <c r="H52" i="1"/>
  <c r="S61" i="1"/>
  <c r="K61" i="1"/>
  <c r="R68" i="1"/>
  <c r="J68" i="1"/>
  <c r="E68" i="1"/>
  <c r="Q25" i="10"/>
  <c r="I25" i="10"/>
  <c r="C25" i="10"/>
  <c r="P37" i="10"/>
  <c r="H37" i="10"/>
  <c r="S48" i="10"/>
  <c r="K48" i="10"/>
  <c r="R60" i="10"/>
  <c r="J60" i="10"/>
  <c r="E60" i="10"/>
  <c r="Q25" i="17"/>
  <c r="I25" i="17"/>
  <c r="C25" i="17"/>
  <c r="P33" i="17"/>
  <c r="H33" i="17"/>
  <c r="S44" i="17"/>
  <c r="K44" i="17"/>
  <c r="R54" i="17"/>
  <c r="J54" i="17"/>
  <c r="E54" i="17"/>
  <c r="Q27" i="18"/>
  <c r="I27" i="18"/>
  <c r="C27" i="18"/>
  <c r="P35" i="18"/>
  <c r="H35" i="18"/>
  <c r="S46" i="18"/>
  <c r="K46" i="18"/>
  <c r="R60" i="18"/>
  <c r="J60" i="18"/>
  <c r="E60" i="18"/>
  <c r="Q78" i="18"/>
  <c r="I78" i="18"/>
  <c r="C78" i="18"/>
  <c r="S31" i="19"/>
  <c r="K31" i="19"/>
  <c r="R46" i="19"/>
  <c r="J46" i="19"/>
  <c r="E46" i="19"/>
  <c r="Q27" i="20"/>
  <c r="I27" i="20"/>
  <c r="C27" i="20"/>
  <c r="P36" i="20"/>
  <c r="H36" i="20"/>
  <c r="S45" i="20"/>
  <c r="K45" i="20"/>
  <c r="R53" i="20"/>
  <c r="J53" i="20"/>
  <c r="E53" i="20"/>
  <c r="Q61" i="20"/>
  <c r="I61" i="20"/>
  <c r="C61" i="20"/>
  <c r="P30" i="16"/>
  <c r="H30" i="16"/>
  <c r="S43" i="16"/>
  <c r="K43" i="16"/>
  <c r="R57" i="16"/>
  <c r="J57" i="16"/>
  <c r="E57" i="16"/>
  <c r="Q72" i="16"/>
  <c r="I72" i="16"/>
  <c r="C72" i="16"/>
  <c r="P83" i="16"/>
  <c r="H83" i="16"/>
  <c r="S93" i="16"/>
  <c r="K93" i="16"/>
  <c r="R23" i="14"/>
  <c r="J23" i="14"/>
  <c r="E23" i="14"/>
  <c r="Q33" i="14"/>
  <c r="C33" i="14"/>
  <c r="P45" i="14"/>
  <c r="K23" i="12"/>
  <c r="I9" i="16"/>
  <c r="I7" i="20"/>
  <c r="I9" i="19"/>
  <c r="I7" i="18"/>
  <c r="I3" i="17"/>
  <c r="I9" i="1"/>
  <c r="K65" i="8"/>
  <c r="K54" i="8"/>
  <c r="K47" i="8"/>
  <c r="K37" i="8"/>
  <c r="K27" i="8"/>
  <c r="Q48" i="12"/>
  <c r="Q34" i="12"/>
  <c r="R23" i="12"/>
  <c r="I9" i="12"/>
  <c r="S17" i="6"/>
  <c r="I7" i="19"/>
  <c r="I9" i="10"/>
  <c r="I7" i="1"/>
  <c r="I3" i="21"/>
  <c r="J65" i="8"/>
  <c r="J54" i="8"/>
  <c r="J47" i="8"/>
  <c r="J37" i="8"/>
  <c r="J27" i="8"/>
  <c r="P48" i="12"/>
  <c r="P34" i="12"/>
  <c r="S23" i="12"/>
  <c r="R17" i="6"/>
  <c r="I9" i="17"/>
  <c r="I7" i="10"/>
  <c r="I3" i="1"/>
  <c r="P17" i="6"/>
  <c r="I65" i="8"/>
  <c r="I54" i="8"/>
  <c r="I47" i="8"/>
  <c r="I37" i="8"/>
  <c r="I27" i="8"/>
  <c r="I9" i="8"/>
  <c r="S48" i="12"/>
  <c r="S34" i="12"/>
  <c r="P23" i="12"/>
  <c r="J23" i="12"/>
  <c r="U17" i="6"/>
  <c r="Q17" i="6"/>
  <c r="T17" i="6"/>
  <c r="I9" i="18"/>
  <c r="I7" i="17"/>
  <c r="I3" i="10"/>
  <c r="I23" i="12"/>
  <c r="H65" i="8"/>
  <c r="H54" i="8"/>
  <c r="H47" i="8"/>
  <c r="H37" i="8"/>
  <c r="H27" i="8"/>
  <c r="I7" i="8"/>
  <c r="R48" i="12"/>
  <c r="R34" i="12"/>
  <c r="Q23" i="12"/>
  <c r="H23" i="12"/>
  <c r="E54" i="8"/>
  <c r="C47" i="8"/>
  <c r="G27" i="8"/>
  <c r="H3" i="10"/>
  <c r="E37" i="8"/>
  <c r="C27" i="8"/>
  <c r="H3" i="21"/>
  <c r="I3" i="12"/>
  <c r="C37" i="8"/>
  <c r="E65" i="8"/>
  <c r="C54" i="8"/>
  <c r="E27" i="8"/>
  <c r="H3" i="1"/>
  <c r="I3" i="8"/>
  <c r="H3" i="6"/>
  <c r="H3" i="17"/>
  <c r="C65" i="8"/>
  <c r="E47" i="8"/>
  <c r="E25" i="12"/>
  <c r="D5" i="38"/>
  <c r="D6" i="38"/>
  <c r="G23" i="12"/>
  <c r="E34" i="12"/>
  <c r="E36" i="12"/>
  <c r="E38" i="12"/>
  <c r="E40" i="12"/>
  <c r="E42" i="12"/>
  <c r="E44" i="12"/>
  <c r="D16" i="12"/>
  <c r="E51" i="12"/>
  <c r="E55" i="12"/>
  <c r="C15" i="12"/>
  <c r="E37" i="12"/>
  <c r="E41" i="12"/>
  <c r="E45" i="12"/>
  <c r="E27" i="12"/>
  <c r="E31" i="12"/>
  <c r="E50" i="12"/>
  <c r="E54" i="12"/>
  <c r="E24" i="12"/>
  <c r="E26" i="12"/>
  <c r="E28" i="12"/>
  <c r="E30" i="12"/>
  <c r="D14" i="12"/>
  <c r="C17" i="12"/>
  <c r="E49" i="12"/>
  <c r="E53" i="12"/>
  <c r="C23" i="12"/>
  <c r="E35" i="12"/>
  <c r="E39" i="12"/>
  <c r="E43" i="12"/>
  <c r="C48" i="12"/>
  <c r="E23" i="12"/>
  <c r="E29" i="12"/>
  <c r="C34" i="12"/>
  <c r="E48" i="12"/>
  <c r="E52" i="12"/>
  <c r="E56" i="12"/>
  <c r="S2" i="5"/>
  <c r="G15" i="34"/>
  <c r="D41" i="34"/>
  <c r="D36" i="34"/>
  <c r="D32" i="34"/>
  <c r="D28" i="34"/>
  <c r="D20" i="34"/>
  <c r="D42" i="34"/>
  <c r="D23" i="34"/>
  <c r="D44" i="34"/>
  <c r="D40" i="34"/>
  <c r="D35" i="34"/>
  <c r="D31" i="34"/>
  <c r="D25" i="34"/>
  <c r="D22" i="34"/>
  <c r="G35" i="34"/>
  <c r="D27" i="34"/>
  <c r="D43" i="34"/>
  <c r="D38" i="34"/>
  <c r="D34" i="34"/>
  <c r="D30" i="34"/>
  <c r="D24" i="34"/>
  <c r="D19" i="34"/>
  <c r="D37" i="34"/>
  <c r="D29" i="34"/>
  <c r="E28" i="8"/>
  <c r="E54" i="16"/>
  <c r="E52" i="16"/>
  <c r="E50" i="16"/>
  <c r="E48" i="16"/>
  <c r="E41" i="16"/>
  <c r="E31" i="17"/>
  <c r="E49" i="1"/>
  <c r="E44" i="1"/>
  <c r="E46" i="1"/>
  <c r="D67" i="1"/>
  <c r="E65" i="1"/>
  <c r="E62" i="1"/>
  <c r="E66" i="16"/>
  <c r="E64" i="16"/>
  <c r="E11" i="1"/>
  <c r="E74" i="1"/>
  <c r="E72" i="1"/>
  <c r="E70" i="1"/>
  <c r="D60" i="1"/>
  <c r="E44" i="8"/>
  <c r="E35" i="8"/>
  <c r="E55" i="16"/>
  <c r="E53" i="16"/>
  <c r="E51" i="16"/>
  <c r="E49" i="16"/>
  <c r="E47" i="16"/>
  <c r="E91" i="16"/>
  <c r="E12" i="16"/>
  <c r="E10" i="1"/>
  <c r="E50" i="1"/>
  <c r="E43" i="1"/>
  <c r="E45" i="1"/>
  <c r="E47" i="1"/>
  <c r="E66" i="1"/>
  <c r="E64" i="1"/>
  <c r="E70" i="16"/>
  <c r="E65" i="16"/>
  <c r="E63" i="16"/>
  <c r="E75" i="1"/>
  <c r="E73" i="1"/>
  <c r="E71" i="1"/>
  <c r="E45" i="8"/>
  <c r="E34" i="8"/>
  <c r="E48" i="1"/>
  <c r="E63" i="1"/>
  <c r="E76" i="18"/>
  <c r="E70" i="18"/>
  <c r="E11" i="18"/>
  <c r="E75" i="18"/>
  <c r="E73" i="18"/>
  <c r="E71" i="18"/>
  <c r="E69" i="18"/>
  <c r="E10" i="10"/>
  <c r="E74" i="18"/>
  <c r="E58" i="18"/>
  <c r="E72" i="18"/>
  <c r="E68" i="18"/>
  <c r="E46" i="10"/>
  <c r="E56" i="10"/>
  <c r="E58" i="10"/>
  <c r="E55" i="10"/>
  <c r="E53" i="10"/>
  <c r="E51" i="10"/>
  <c r="E49" i="10"/>
  <c r="E67" i="18"/>
  <c r="E65" i="18"/>
  <c r="E63" i="18"/>
  <c r="E39" i="1"/>
  <c r="D59" i="18"/>
  <c r="E42" i="1"/>
  <c r="E81" i="16"/>
  <c r="E89" i="16"/>
  <c r="E87" i="16"/>
  <c r="E85" i="16"/>
  <c r="D82" i="16"/>
  <c r="E61" i="18"/>
  <c r="E41" i="1"/>
  <c r="E62" i="18"/>
  <c r="E40" i="1"/>
  <c r="E80" i="16"/>
  <c r="E54" i="10"/>
  <c r="E52" i="10"/>
  <c r="E50" i="10"/>
  <c r="D47" i="10"/>
  <c r="E90" i="16"/>
  <c r="E88" i="16"/>
  <c r="E86" i="16"/>
  <c r="E84" i="16"/>
  <c r="E64" i="18"/>
  <c r="E58" i="16"/>
  <c r="E66" i="18"/>
  <c r="E38" i="1"/>
  <c r="E43" i="8"/>
  <c r="C9" i="13"/>
  <c r="C8" i="13"/>
  <c r="D5" i="34"/>
  <c r="D4" i="34"/>
  <c r="D28" i="6"/>
  <c r="G38" i="34"/>
  <c r="G31" i="34"/>
  <c r="G25" i="34"/>
  <c r="G20" i="34"/>
  <c r="G13" i="34"/>
  <c r="D13" i="34"/>
  <c r="G37" i="34"/>
  <c r="G10" i="34"/>
  <c r="T2" i="5"/>
  <c r="G26" i="34"/>
  <c r="D12" i="1"/>
  <c r="G34" i="34"/>
  <c r="G30" i="34"/>
  <c r="G24" i="34"/>
  <c r="G19" i="34"/>
  <c r="G12" i="34"/>
  <c r="D18" i="34"/>
  <c r="D12" i="34"/>
  <c r="G29" i="34"/>
  <c r="G32" i="34"/>
  <c r="G14" i="34"/>
  <c r="G40" i="34"/>
  <c r="G33" i="34"/>
  <c r="G27" i="34"/>
  <c r="G23" i="34"/>
  <c r="G18" i="34"/>
  <c r="G11" i="34"/>
  <c r="D17" i="34"/>
  <c r="D11" i="34"/>
  <c r="G22" i="34"/>
  <c r="D10" i="34"/>
  <c r="G39" i="34"/>
  <c r="D16" i="34"/>
  <c r="G17" i="34"/>
  <c r="U2" i="5"/>
  <c r="C4" i="12"/>
  <c r="D44" i="6"/>
  <c r="D37" i="6"/>
  <c r="D35" i="6"/>
  <c r="D26" i="6"/>
  <c r="D29" i="6"/>
  <c r="D13" i="6"/>
  <c r="D17" i="6"/>
  <c r="D12" i="6"/>
  <c r="D11" i="6"/>
  <c r="E49" i="14"/>
  <c r="H101" i="5"/>
  <c r="H234" i="5"/>
  <c r="H102" i="5"/>
  <c r="H237" i="5"/>
  <c r="H231" i="5"/>
  <c r="H99" i="5"/>
  <c r="H233" i="5"/>
  <c r="H98" i="5"/>
  <c r="H100" i="5"/>
  <c r="H236" i="5"/>
  <c r="H96" i="5"/>
  <c r="H232" i="5"/>
  <c r="H95" i="5"/>
  <c r="H235" i="5"/>
  <c r="H97" i="5"/>
  <c r="H238" i="5"/>
  <c r="S67" i="16" l="1"/>
  <c r="S69" i="16"/>
  <c r="P58" i="20"/>
  <c r="P69" i="16"/>
  <c r="P40" i="16"/>
  <c r="P68" i="16"/>
  <c r="S68" i="16"/>
  <c r="S58" i="20"/>
  <c r="R69" i="16"/>
  <c r="Q40" i="16"/>
  <c r="Q68" i="16"/>
  <c r="Q58" i="20"/>
  <c r="Q69" i="16"/>
  <c r="R40" i="16"/>
  <c r="R68" i="16"/>
  <c r="R58" i="20"/>
  <c r="R67" i="16"/>
  <c r="S40" i="16"/>
  <c r="P67" i="16"/>
  <c r="Q67" i="16"/>
  <c r="P35" i="21"/>
  <c r="P31" i="10"/>
  <c r="P33" i="10"/>
  <c r="P30" i="17"/>
  <c r="O60" i="8"/>
  <c r="R61" i="8"/>
  <c r="Q31" i="10"/>
  <c r="P62" i="8"/>
  <c r="Q35" i="21"/>
  <c r="Q33" i="10"/>
  <c r="Q30" i="17"/>
  <c r="P60" i="8"/>
  <c r="S61" i="8"/>
  <c r="Q61" i="8"/>
  <c r="R35" i="21"/>
  <c r="R31" i="10"/>
  <c r="R33" i="10"/>
  <c r="R30" i="17"/>
  <c r="Q60" i="8"/>
  <c r="O62" i="8"/>
  <c r="S35" i="21"/>
  <c r="S31" i="10"/>
  <c r="S33" i="10"/>
  <c r="R60" i="8"/>
  <c r="S30" i="17"/>
  <c r="S34" i="10"/>
  <c r="P57" i="10"/>
  <c r="P32" i="10"/>
  <c r="P34" i="10"/>
  <c r="Q62" i="8"/>
  <c r="S60" i="8"/>
  <c r="Q57" i="10"/>
  <c r="Q32" i="10"/>
  <c r="Q34" i="10"/>
  <c r="R62" i="8"/>
  <c r="O61" i="8"/>
  <c r="S32" i="10"/>
  <c r="R57" i="10"/>
  <c r="R32" i="10"/>
  <c r="R34" i="10"/>
  <c r="S62" i="8"/>
  <c r="P61" i="8"/>
  <c r="S57" i="10"/>
  <c r="Q42" i="19"/>
  <c r="O44" i="19"/>
  <c r="R42" i="19"/>
  <c r="P44" i="19"/>
  <c r="S28" i="19"/>
  <c r="S34" i="1"/>
  <c r="S42" i="19"/>
  <c r="Q44" i="19"/>
  <c r="P33" i="1"/>
  <c r="P35" i="1"/>
  <c r="O43" i="19"/>
  <c r="R44" i="19"/>
  <c r="Q33" i="1"/>
  <c r="Q35" i="1"/>
  <c r="O28" i="19"/>
  <c r="O42" i="19"/>
  <c r="P28" i="19"/>
  <c r="P42" i="19"/>
  <c r="Q34" i="1"/>
  <c r="R34" i="1"/>
  <c r="P43" i="19"/>
  <c r="S44" i="19"/>
  <c r="R33" i="1"/>
  <c r="R35" i="1"/>
  <c r="S33" i="1"/>
  <c r="S35" i="1"/>
  <c r="R43" i="19"/>
  <c r="O34" i="1"/>
  <c r="Q28" i="19"/>
  <c r="O35" i="1"/>
  <c r="Q43" i="19"/>
  <c r="P34" i="1"/>
  <c r="S43" i="19"/>
  <c r="R28" i="19"/>
  <c r="I237" i="5"/>
  <c r="I238" i="5"/>
  <c r="O34" i="10"/>
  <c r="O58" i="20"/>
  <c r="O35" i="21"/>
  <c r="O30" i="17"/>
  <c r="O33" i="1"/>
  <c r="O40" i="16"/>
  <c r="O57" i="18"/>
  <c r="O33" i="20"/>
  <c r="O31" i="10"/>
  <c r="O32" i="10"/>
  <c r="O42" i="20"/>
  <c r="O36" i="21"/>
  <c r="O57" i="10"/>
  <c r="O33" i="10"/>
  <c r="O67" i="16"/>
  <c r="O68" i="16"/>
  <c r="O69" i="16"/>
  <c r="P24" i="21"/>
  <c r="P24" i="14"/>
  <c r="P25" i="14"/>
  <c r="O27" i="14"/>
  <c r="O52" i="14"/>
  <c r="O48" i="14"/>
  <c r="O30" i="14"/>
  <c r="O26" i="14"/>
  <c r="O51" i="14"/>
  <c r="O47" i="14"/>
  <c r="O43" i="14"/>
  <c r="O42" i="14"/>
  <c r="O39" i="14"/>
  <c r="O38" i="14"/>
  <c r="O50" i="14"/>
  <c r="O49" i="14"/>
  <c r="O35" i="14"/>
  <c r="O34" i="14"/>
  <c r="O41" i="14"/>
  <c r="O29" i="14"/>
  <c r="O28" i="14"/>
  <c r="O24" i="19"/>
  <c r="O37" i="14"/>
  <c r="O40" i="14"/>
  <c r="O25" i="14"/>
  <c r="O24" i="14"/>
  <c r="O55" i="16"/>
  <c r="O31" i="14"/>
  <c r="O36" i="14"/>
  <c r="P63" i="10"/>
  <c r="R30" i="1"/>
  <c r="P31" i="8"/>
  <c r="P25" i="21"/>
  <c r="Q31" i="1"/>
  <c r="Q53" i="10"/>
  <c r="P28" i="21"/>
  <c r="P28" i="8"/>
  <c r="P30" i="1"/>
  <c r="R32" i="21"/>
  <c r="P28" i="17"/>
  <c r="P24" i="19"/>
  <c r="S24" i="19"/>
  <c r="Q24" i="19"/>
  <c r="R24" i="19"/>
  <c r="P26" i="10"/>
  <c r="R26" i="10"/>
  <c r="Q26" i="10"/>
  <c r="S26" i="10"/>
  <c r="P24" i="12"/>
  <c r="P56" i="12"/>
  <c r="P55" i="12"/>
  <c r="P54" i="12"/>
  <c r="P53" i="12"/>
  <c r="P52" i="12"/>
  <c r="P51" i="12"/>
  <c r="P50" i="12"/>
  <c r="P49" i="12"/>
  <c r="P45" i="12"/>
  <c r="P44" i="12"/>
  <c r="P43" i="12"/>
  <c r="P42" i="12"/>
  <c r="P41" i="12"/>
  <c r="P40" i="12"/>
  <c r="P39" i="12"/>
  <c r="P38" i="12"/>
  <c r="P37" i="12"/>
  <c r="P36" i="12"/>
  <c r="P35" i="12"/>
  <c r="P31" i="12"/>
  <c r="P30" i="12"/>
  <c r="P29" i="12"/>
  <c r="P28" i="12"/>
  <c r="P27" i="12"/>
  <c r="P26" i="12"/>
  <c r="P25" i="12"/>
  <c r="S72" i="8"/>
  <c r="S71" i="8"/>
  <c r="S70" i="8"/>
  <c r="S69" i="8"/>
  <c r="S68" i="8"/>
  <c r="S67" i="8"/>
  <c r="S63" i="8"/>
  <c r="S59" i="8"/>
  <c r="S58" i="8"/>
  <c r="S57" i="8"/>
  <c r="S56" i="8"/>
  <c r="S55" i="8"/>
  <c r="S52" i="8"/>
  <c r="S51" i="8"/>
  <c r="S50" i="8"/>
  <c r="S49" i="8"/>
  <c r="S48" i="8"/>
  <c r="S45" i="8"/>
  <c r="S44" i="8"/>
  <c r="S43" i="8"/>
  <c r="S42" i="8"/>
  <c r="S41" i="8"/>
  <c r="S40" i="8"/>
  <c r="S39" i="8"/>
  <c r="S38" i="8"/>
  <c r="S35" i="8"/>
  <c r="S34" i="8"/>
  <c r="S33" i="8"/>
  <c r="S32" i="8"/>
  <c r="S31" i="8"/>
  <c r="R30" i="8"/>
  <c r="R29" i="8"/>
  <c r="R28" i="8"/>
  <c r="Q58" i="21"/>
  <c r="Q57" i="21"/>
  <c r="Q56" i="21"/>
  <c r="Q55" i="21"/>
  <c r="Q54" i="21"/>
  <c r="Q53" i="21"/>
  <c r="Q49" i="21"/>
  <c r="Q48" i="21"/>
  <c r="Q47" i="21"/>
  <c r="Q46" i="21"/>
  <c r="Q45" i="21"/>
  <c r="Q44" i="21"/>
  <c r="Q43" i="21"/>
  <c r="Q42" i="21"/>
  <c r="Q41" i="21"/>
  <c r="Q40" i="21"/>
  <c r="Q39" i="21"/>
  <c r="Q36" i="21"/>
  <c r="Q34" i="21"/>
  <c r="Q33" i="21"/>
  <c r="P32" i="21"/>
  <c r="P31" i="21"/>
  <c r="S56" i="12"/>
  <c r="S55" i="12"/>
  <c r="S54" i="12"/>
  <c r="S53" i="12"/>
  <c r="S52" i="12"/>
  <c r="S51" i="12"/>
  <c r="S50" i="12"/>
  <c r="S49" i="12"/>
  <c r="S45" i="12"/>
  <c r="S44" i="12"/>
  <c r="S43" i="12"/>
  <c r="S42" i="12"/>
  <c r="S41" i="12"/>
  <c r="S40" i="12"/>
  <c r="S39" i="12"/>
  <c r="S38" i="12"/>
  <c r="S37" i="12"/>
  <c r="S36" i="12"/>
  <c r="S35" i="12"/>
  <c r="S31" i="12"/>
  <c r="S30" i="12"/>
  <c r="S29" i="12"/>
  <c r="S28" i="12"/>
  <c r="S27" i="12"/>
  <c r="S26" i="12"/>
  <c r="S25" i="12"/>
  <c r="S24" i="12"/>
  <c r="R72" i="8"/>
  <c r="R71" i="8"/>
  <c r="R70" i="8"/>
  <c r="R69" i="8"/>
  <c r="R68" i="8"/>
  <c r="R67" i="8"/>
  <c r="R63" i="8"/>
  <c r="R59" i="8"/>
  <c r="R58" i="8"/>
  <c r="R57" i="8"/>
  <c r="R56" i="8"/>
  <c r="R55" i="8"/>
  <c r="R52" i="8"/>
  <c r="R51" i="8"/>
  <c r="R50" i="8"/>
  <c r="R49" i="8"/>
  <c r="R48" i="8"/>
  <c r="R45" i="8"/>
  <c r="R44" i="8"/>
  <c r="R43" i="8"/>
  <c r="R42" i="8"/>
  <c r="R41" i="8"/>
  <c r="R40" i="8"/>
  <c r="R39" i="8"/>
  <c r="R38" i="8"/>
  <c r="R35" i="8"/>
  <c r="R34" i="8"/>
  <c r="R33" i="8"/>
  <c r="R32" i="8"/>
  <c r="R31" i="8"/>
  <c r="Q30" i="8"/>
  <c r="Q29" i="8"/>
  <c r="Q28" i="8"/>
  <c r="P58" i="21"/>
  <c r="P57" i="21"/>
  <c r="P56" i="21"/>
  <c r="P55" i="21"/>
  <c r="P54" i="21"/>
  <c r="P53" i="21"/>
  <c r="P49" i="21"/>
  <c r="P48" i="21"/>
  <c r="P47" i="21"/>
  <c r="P46" i="21"/>
  <c r="P45" i="21"/>
  <c r="P44" i="21"/>
  <c r="P43" i="21"/>
  <c r="P42" i="21"/>
  <c r="P41" i="21"/>
  <c r="P40" i="21"/>
  <c r="P39" i="21"/>
  <c r="P36" i="21"/>
  <c r="P34" i="21"/>
  <c r="P33" i="21"/>
  <c r="S31" i="21"/>
  <c r="S30" i="21"/>
  <c r="R56" i="12"/>
  <c r="R55" i="12"/>
  <c r="R54" i="12"/>
  <c r="R53" i="12"/>
  <c r="R52" i="12"/>
  <c r="R51" i="12"/>
  <c r="R50" i="12"/>
  <c r="R49" i="12"/>
  <c r="R45" i="12"/>
  <c r="R44" i="12"/>
  <c r="R43" i="12"/>
  <c r="R42" i="12"/>
  <c r="R41" i="12"/>
  <c r="R40" i="12"/>
  <c r="R39" i="12"/>
  <c r="R38" i="12"/>
  <c r="R37" i="12"/>
  <c r="R36" i="12"/>
  <c r="R35" i="12"/>
  <c r="R31" i="12"/>
  <c r="R30" i="12"/>
  <c r="R29" i="12"/>
  <c r="R28" i="12"/>
  <c r="R27" i="12"/>
  <c r="R26" i="12"/>
  <c r="R25" i="12"/>
  <c r="R24" i="12"/>
  <c r="Q72" i="8"/>
  <c r="Q71" i="8"/>
  <c r="Q70" i="8"/>
  <c r="Q69" i="8"/>
  <c r="Q68" i="8"/>
  <c r="Q67" i="8"/>
  <c r="Q63" i="8"/>
  <c r="Q59" i="8"/>
  <c r="Q58" i="8"/>
  <c r="Q57" i="8"/>
  <c r="Q56" i="8"/>
  <c r="Q55" i="8"/>
  <c r="Q52" i="8"/>
  <c r="Q51" i="8"/>
  <c r="Q50" i="8"/>
  <c r="Q49" i="8"/>
  <c r="Q48" i="8"/>
  <c r="Q45" i="8"/>
  <c r="Q44" i="8"/>
  <c r="Q43" i="8"/>
  <c r="Q42" i="8"/>
  <c r="Q41" i="8"/>
  <c r="Q40" i="8"/>
  <c r="Q39" i="8"/>
  <c r="Q38" i="8"/>
  <c r="Q35" i="8"/>
  <c r="Q34" i="8"/>
  <c r="Q33" i="8"/>
  <c r="Q32" i="8"/>
  <c r="Q31" i="8"/>
  <c r="P30" i="8"/>
  <c r="P29" i="8"/>
  <c r="S58" i="21"/>
  <c r="S57" i="21"/>
  <c r="S56" i="21"/>
  <c r="S55" i="21"/>
  <c r="Q56" i="12"/>
  <c r="Q55" i="12"/>
  <c r="Q54" i="12"/>
  <c r="Q53" i="12"/>
  <c r="Q52" i="12"/>
  <c r="Q51" i="12"/>
  <c r="Q50" i="12"/>
  <c r="Q49" i="12"/>
  <c r="Q45" i="12"/>
  <c r="Q44" i="12"/>
  <c r="Q43" i="12"/>
  <c r="Q42" i="12"/>
  <c r="Q41" i="12"/>
  <c r="Q40" i="12"/>
  <c r="Q39" i="12"/>
  <c r="Q38" i="12"/>
  <c r="Q37" i="12"/>
  <c r="Q36" i="12"/>
  <c r="Q35" i="12"/>
  <c r="Q31" i="12"/>
  <c r="Q30" i="12"/>
  <c r="Q29" i="12"/>
  <c r="Q28" i="12"/>
  <c r="Q27" i="12"/>
  <c r="Q26" i="12"/>
  <c r="Q25" i="12"/>
  <c r="Q24" i="12"/>
  <c r="P72" i="8"/>
  <c r="P71" i="8"/>
  <c r="P70" i="8"/>
  <c r="P69" i="8"/>
  <c r="P68" i="8"/>
  <c r="P58" i="8"/>
  <c r="P49" i="8"/>
  <c r="P44" i="8"/>
  <c r="P40" i="8"/>
  <c r="P35" i="8"/>
  <c r="S30" i="8"/>
  <c r="R57" i="21"/>
  <c r="R54" i="21"/>
  <c r="R49" i="21"/>
  <c r="R47" i="21"/>
  <c r="R45" i="21"/>
  <c r="R43" i="21"/>
  <c r="R41" i="21"/>
  <c r="R39" i="21"/>
  <c r="R34" i="21"/>
  <c r="Q32" i="21"/>
  <c r="Q30" i="21"/>
  <c r="Q29" i="21"/>
  <c r="Q28" i="21"/>
  <c r="P27" i="21"/>
  <c r="P26" i="21"/>
  <c r="S24" i="21"/>
  <c r="S75" i="1"/>
  <c r="S74" i="1"/>
  <c r="S73" i="1"/>
  <c r="S72" i="1"/>
  <c r="S71" i="1"/>
  <c r="S70" i="1"/>
  <c r="S66" i="1"/>
  <c r="S65" i="1"/>
  <c r="S64" i="1"/>
  <c r="S63" i="1"/>
  <c r="S62" i="1"/>
  <c r="S59" i="1"/>
  <c r="S58" i="1"/>
  <c r="S57" i="1"/>
  <c r="S56" i="1"/>
  <c r="S55" i="1"/>
  <c r="S54" i="1"/>
  <c r="S53" i="1"/>
  <c r="S50" i="1"/>
  <c r="S49" i="1"/>
  <c r="S48" i="1"/>
  <c r="S47" i="1"/>
  <c r="S46" i="1"/>
  <c r="S45" i="1"/>
  <c r="S44" i="1"/>
  <c r="S43" i="1"/>
  <c r="S42" i="1"/>
  <c r="S41" i="1"/>
  <c r="S40" i="1"/>
  <c r="S39" i="1"/>
  <c r="S38" i="1"/>
  <c r="S32" i="1"/>
  <c r="S31" i="1"/>
  <c r="Q30" i="1"/>
  <c r="P29" i="1"/>
  <c r="P28" i="1"/>
  <c r="P61" i="17"/>
  <c r="P60" i="17"/>
  <c r="P59" i="17"/>
  <c r="P58" i="17"/>
  <c r="P57" i="17"/>
  <c r="P56" i="17"/>
  <c r="P52" i="17"/>
  <c r="P51" i="17"/>
  <c r="P50" i="17"/>
  <c r="P49" i="17"/>
  <c r="P48" i="17"/>
  <c r="P47" i="17"/>
  <c r="P46" i="17"/>
  <c r="P42" i="17"/>
  <c r="P41" i="17"/>
  <c r="P40" i="17"/>
  <c r="P39" i="17"/>
  <c r="P38" i="17"/>
  <c r="P37" i="17"/>
  <c r="P36" i="17"/>
  <c r="P35" i="17"/>
  <c r="P34" i="17"/>
  <c r="P31" i="17"/>
  <c r="P67" i="8"/>
  <c r="P57" i="8"/>
  <c r="P52" i="8"/>
  <c r="P48" i="8"/>
  <c r="P43" i="8"/>
  <c r="P39" i="8"/>
  <c r="P34" i="8"/>
  <c r="S29" i="8"/>
  <c r="R56" i="21"/>
  <c r="S53" i="21"/>
  <c r="S48" i="21"/>
  <c r="S46" i="21"/>
  <c r="S44" i="21"/>
  <c r="S42" i="21"/>
  <c r="S40" i="21"/>
  <c r="S36" i="21"/>
  <c r="S33" i="21"/>
  <c r="R31" i="21"/>
  <c r="P30" i="21"/>
  <c r="P29" i="21"/>
  <c r="S27" i="21"/>
  <c r="S26" i="21"/>
  <c r="S25" i="21"/>
  <c r="R24" i="21"/>
  <c r="R75" i="1"/>
  <c r="R74" i="1"/>
  <c r="R73" i="1"/>
  <c r="R72" i="1"/>
  <c r="R71" i="1"/>
  <c r="R70" i="1"/>
  <c r="R66" i="1"/>
  <c r="R65" i="1"/>
  <c r="R64" i="1"/>
  <c r="R63" i="1"/>
  <c r="R62" i="1"/>
  <c r="R59" i="1"/>
  <c r="R58" i="1"/>
  <c r="R57" i="1"/>
  <c r="R56" i="1"/>
  <c r="R55" i="1"/>
  <c r="R54" i="1"/>
  <c r="R53" i="1"/>
  <c r="R50" i="1"/>
  <c r="R49" i="1"/>
  <c r="R48" i="1"/>
  <c r="R47" i="1"/>
  <c r="R46" i="1"/>
  <c r="R45" i="1"/>
  <c r="R44" i="1"/>
  <c r="R43" i="1"/>
  <c r="R42" i="1"/>
  <c r="R41" i="1"/>
  <c r="R40" i="1"/>
  <c r="R39" i="1"/>
  <c r="R38" i="1"/>
  <c r="R32" i="1"/>
  <c r="R31" i="1"/>
  <c r="S29" i="1"/>
  <c r="S28" i="1"/>
  <c r="S61" i="17"/>
  <c r="S60" i="17"/>
  <c r="S59" i="17"/>
  <c r="S58" i="17"/>
  <c r="S57" i="17"/>
  <c r="S56" i="17"/>
  <c r="S52" i="17"/>
  <c r="S51" i="17"/>
  <c r="S50" i="17"/>
  <c r="S49" i="17"/>
  <c r="S48" i="17"/>
  <c r="S47" i="17"/>
  <c r="S46" i="17"/>
  <c r="S42" i="17"/>
  <c r="S41" i="17"/>
  <c r="S40" i="17"/>
  <c r="S39" i="17"/>
  <c r="S38" i="17"/>
  <c r="S37" i="17"/>
  <c r="S36" i="17"/>
  <c r="S35" i="17"/>
  <c r="S34" i="17"/>
  <c r="S31" i="17"/>
  <c r="P63" i="8"/>
  <c r="P56" i="8"/>
  <c r="P51" i="8"/>
  <c r="P42" i="8"/>
  <c r="P38" i="8"/>
  <c r="P33" i="8"/>
  <c r="S28" i="8"/>
  <c r="R55" i="21"/>
  <c r="R53" i="21"/>
  <c r="R48" i="21"/>
  <c r="R46" i="21"/>
  <c r="R44" i="21"/>
  <c r="R42" i="21"/>
  <c r="R40" i="21"/>
  <c r="R36" i="21"/>
  <c r="R33" i="21"/>
  <c r="Q31" i="21"/>
  <c r="S29" i="21"/>
  <c r="S28" i="21"/>
  <c r="R27" i="21"/>
  <c r="R26" i="21"/>
  <c r="R25" i="21"/>
  <c r="Q24" i="21"/>
  <c r="Q75" i="1"/>
  <c r="Q74" i="1"/>
  <c r="Q73" i="1"/>
  <c r="Q72" i="1"/>
  <c r="Q71" i="1"/>
  <c r="Q70" i="1"/>
  <c r="Q66" i="1"/>
  <c r="Q65" i="1"/>
  <c r="Q64" i="1"/>
  <c r="Q63" i="1"/>
  <c r="Q62" i="1"/>
  <c r="Q59" i="1"/>
  <c r="Q58" i="1"/>
  <c r="Q57" i="1"/>
  <c r="Q56" i="1"/>
  <c r="Q55" i="1"/>
  <c r="Q54" i="1"/>
  <c r="Q53" i="1"/>
  <c r="Q50" i="1"/>
  <c r="Q49" i="1"/>
  <c r="Q48" i="1"/>
  <c r="Q47" i="1"/>
  <c r="Q46" i="1"/>
  <c r="Q45" i="1"/>
  <c r="Q44" i="1"/>
  <c r="Q43" i="1"/>
  <c r="Q42" i="1"/>
  <c r="Q41" i="1"/>
  <c r="Q40" i="1"/>
  <c r="Q39" i="1"/>
  <c r="Q38" i="1"/>
  <c r="Q32" i="1"/>
  <c r="P31" i="1"/>
  <c r="R29" i="1"/>
  <c r="R28" i="1"/>
  <c r="R61" i="17"/>
  <c r="R60" i="17"/>
  <c r="R59" i="17"/>
  <c r="R58" i="17"/>
  <c r="R57" i="17"/>
  <c r="R56" i="17"/>
  <c r="R52" i="17"/>
  <c r="R51" i="17"/>
  <c r="R50" i="17"/>
  <c r="R49" i="17"/>
  <c r="R48" i="17"/>
  <c r="R47" i="17"/>
  <c r="R46" i="17"/>
  <c r="R42" i="17"/>
  <c r="R41" i="17"/>
  <c r="R40" i="17"/>
  <c r="R39" i="17"/>
  <c r="R38" i="17"/>
  <c r="R37" i="17"/>
  <c r="R36" i="17"/>
  <c r="R35" i="17"/>
  <c r="R34" i="17"/>
  <c r="R31" i="17"/>
  <c r="P59" i="8"/>
  <c r="P55" i="8"/>
  <c r="P50" i="8"/>
  <c r="P45" i="8"/>
  <c r="P41" i="8"/>
  <c r="P32" i="8"/>
  <c r="R58" i="21"/>
  <c r="S54" i="21"/>
  <c r="S49" i="21"/>
  <c r="S47" i="21"/>
  <c r="S45" i="21"/>
  <c r="S43" i="21"/>
  <c r="S41" i="21"/>
  <c r="S39" i="21"/>
  <c r="S34" i="21"/>
  <c r="S32" i="21"/>
  <c r="R30" i="21"/>
  <c r="R29" i="21"/>
  <c r="R28" i="21"/>
  <c r="Q27" i="21"/>
  <c r="Q26" i="21"/>
  <c r="Q25" i="21"/>
  <c r="P75" i="1"/>
  <c r="P74" i="1"/>
  <c r="P73" i="1"/>
  <c r="P72" i="1"/>
  <c r="P71" i="1"/>
  <c r="P70" i="1"/>
  <c r="P66" i="1"/>
  <c r="P65" i="1"/>
  <c r="P64" i="1"/>
  <c r="P63" i="1"/>
  <c r="P62" i="1"/>
  <c r="P59" i="1"/>
  <c r="P58" i="1"/>
  <c r="P57" i="1"/>
  <c r="P56" i="1"/>
  <c r="P55" i="1"/>
  <c r="P54" i="1"/>
  <c r="P53" i="1"/>
  <c r="P50" i="1"/>
  <c r="P49" i="1"/>
  <c r="P48" i="1"/>
  <c r="P47" i="1"/>
  <c r="P46" i="1"/>
  <c r="P45" i="1"/>
  <c r="P44" i="1"/>
  <c r="P43" i="1"/>
  <c r="P42" i="1"/>
  <c r="P41" i="1"/>
  <c r="P40" i="1"/>
  <c r="P39" i="1"/>
  <c r="P38" i="1"/>
  <c r="P32" i="1"/>
  <c r="S30" i="1"/>
  <c r="Q29" i="1"/>
  <c r="Q28" i="1"/>
  <c r="Q61" i="17"/>
  <c r="Q60" i="17"/>
  <c r="Q59" i="17"/>
  <c r="Q58" i="17"/>
  <c r="Q57" i="17"/>
  <c r="Q56" i="17"/>
  <c r="Q52" i="17"/>
  <c r="Q51" i="17"/>
  <c r="Q50" i="17"/>
  <c r="Q49" i="17"/>
  <c r="Q39" i="17"/>
  <c r="Q35" i="17"/>
  <c r="R29" i="17"/>
  <c r="R28" i="17"/>
  <c r="Q27" i="17"/>
  <c r="Q26" i="17"/>
  <c r="Q85" i="18"/>
  <c r="Q84" i="18"/>
  <c r="Q83" i="18"/>
  <c r="Q82" i="18"/>
  <c r="Q81" i="18"/>
  <c r="Q80" i="18"/>
  <c r="Q76" i="18"/>
  <c r="Q75" i="18"/>
  <c r="Q74" i="18"/>
  <c r="Q73" i="18"/>
  <c r="Q72" i="18"/>
  <c r="Q71" i="18"/>
  <c r="Q70" i="18"/>
  <c r="Q69" i="18"/>
  <c r="Q68" i="18"/>
  <c r="Q67" i="18"/>
  <c r="Q66" i="18"/>
  <c r="Q65" i="18"/>
  <c r="Q64" i="18"/>
  <c r="Q63" i="18"/>
  <c r="Q62" i="18"/>
  <c r="Q61" i="18"/>
  <c r="Q58" i="18"/>
  <c r="Q56" i="18"/>
  <c r="Q55" i="18"/>
  <c r="Q54" i="18"/>
  <c r="Q53" i="18"/>
  <c r="Q52" i="18"/>
  <c r="Q51" i="18"/>
  <c r="Q50" i="18"/>
  <c r="Q49" i="18"/>
  <c r="Q48" i="18"/>
  <c r="Q47" i="18"/>
  <c r="Q44" i="18"/>
  <c r="Q43" i="18"/>
  <c r="Q42" i="18"/>
  <c r="Q41" i="18"/>
  <c r="Q40" i="18"/>
  <c r="Q39" i="18"/>
  <c r="Q38" i="18"/>
  <c r="Q37" i="18"/>
  <c r="Q36" i="18"/>
  <c r="Q33" i="18"/>
  <c r="Q32" i="18"/>
  <c r="Q31" i="18"/>
  <c r="Q30" i="18"/>
  <c r="Q29" i="18"/>
  <c r="Q28" i="18"/>
  <c r="Q53" i="19"/>
  <c r="Q52" i="19"/>
  <c r="Q51" i="19"/>
  <c r="Q50" i="19"/>
  <c r="Q49" i="19"/>
  <c r="Q48" i="19"/>
  <c r="Q41" i="19"/>
  <c r="Q40" i="19"/>
  <c r="Q39" i="19"/>
  <c r="Q38" i="19"/>
  <c r="Q37" i="19"/>
  <c r="Q36" i="19"/>
  <c r="Q35" i="19"/>
  <c r="Q34" i="19"/>
  <c r="Q33" i="19"/>
  <c r="Q32" i="19"/>
  <c r="Q29" i="19"/>
  <c r="Q27" i="19"/>
  <c r="Q26" i="19"/>
  <c r="Q25" i="19"/>
  <c r="Q68" i="20"/>
  <c r="Q67" i="20"/>
  <c r="Q66" i="20"/>
  <c r="Q65" i="20"/>
  <c r="Q64" i="20"/>
  <c r="Q63" i="20"/>
  <c r="Q59" i="20"/>
  <c r="Q57" i="20"/>
  <c r="Q56" i="20"/>
  <c r="Q55" i="20"/>
  <c r="Q54" i="20"/>
  <c r="Q51" i="20"/>
  <c r="Q50" i="20"/>
  <c r="Q49" i="20"/>
  <c r="Q48" i="20"/>
  <c r="Q47" i="20"/>
  <c r="Q46" i="20"/>
  <c r="Q43" i="20"/>
  <c r="Q41" i="20"/>
  <c r="Q40" i="20"/>
  <c r="Q39" i="20"/>
  <c r="Q38" i="20"/>
  <c r="Q37" i="20"/>
  <c r="Q34" i="20"/>
  <c r="Q32" i="20"/>
  <c r="Q31" i="20"/>
  <c r="Q30" i="20"/>
  <c r="Q29" i="20"/>
  <c r="Q28" i="20"/>
  <c r="Q48" i="17"/>
  <c r="Q42" i="17"/>
  <c r="Q38" i="17"/>
  <c r="Q34" i="17"/>
  <c r="Q29" i="17"/>
  <c r="Q28" i="17"/>
  <c r="P27" i="17"/>
  <c r="P26" i="17"/>
  <c r="P85" i="18"/>
  <c r="P84" i="18"/>
  <c r="P83" i="18"/>
  <c r="P82" i="18"/>
  <c r="P81" i="18"/>
  <c r="P80" i="18"/>
  <c r="P76" i="18"/>
  <c r="P75" i="18"/>
  <c r="P74" i="18"/>
  <c r="P73" i="18"/>
  <c r="P72" i="18"/>
  <c r="P71" i="18"/>
  <c r="P70" i="18"/>
  <c r="P69" i="18"/>
  <c r="P68" i="18"/>
  <c r="P67" i="18"/>
  <c r="P66" i="18"/>
  <c r="P65" i="18"/>
  <c r="P64" i="18"/>
  <c r="P63" i="18"/>
  <c r="P62" i="18"/>
  <c r="P61" i="18"/>
  <c r="P58" i="18"/>
  <c r="P56" i="18"/>
  <c r="P55" i="18"/>
  <c r="P54" i="18"/>
  <c r="P53" i="18"/>
  <c r="P52" i="18"/>
  <c r="P51" i="18"/>
  <c r="P50" i="18"/>
  <c r="P49" i="18"/>
  <c r="P48" i="18"/>
  <c r="P47" i="18"/>
  <c r="P44" i="18"/>
  <c r="P43" i="18"/>
  <c r="P42" i="18"/>
  <c r="P41" i="18"/>
  <c r="P40" i="18"/>
  <c r="P39" i="18"/>
  <c r="P38" i="18"/>
  <c r="P37" i="18"/>
  <c r="P36" i="18"/>
  <c r="P33" i="18"/>
  <c r="P32" i="18"/>
  <c r="P31" i="18"/>
  <c r="P30" i="18"/>
  <c r="P29" i="18"/>
  <c r="P28" i="18"/>
  <c r="P53" i="19"/>
  <c r="P52" i="19"/>
  <c r="P51" i="19"/>
  <c r="P50" i="19"/>
  <c r="P49" i="19"/>
  <c r="P48" i="19"/>
  <c r="P41" i="19"/>
  <c r="P40" i="19"/>
  <c r="P39" i="19"/>
  <c r="P38" i="19"/>
  <c r="P37" i="19"/>
  <c r="P36" i="19"/>
  <c r="P35" i="19"/>
  <c r="P34" i="19"/>
  <c r="P33" i="19"/>
  <c r="P32" i="19"/>
  <c r="P29" i="19"/>
  <c r="P27" i="19"/>
  <c r="P26" i="19"/>
  <c r="P25" i="19"/>
  <c r="P68" i="20"/>
  <c r="P67" i="20"/>
  <c r="P66" i="20"/>
  <c r="P65" i="20"/>
  <c r="P64" i="20"/>
  <c r="P63" i="20"/>
  <c r="P59" i="20"/>
  <c r="P57" i="20"/>
  <c r="P56" i="20"/>
  <c r="P55" i="20"/>
  <c r="P54" i="20"/>
  <c r="P51" i="20"/>
  <c r="P50" i="20"/>
  <c r="P49" i="20"/>
  <c r="P48" i="20"/>
  <c r="P47" i="20"/>
  <c r="P46" i="20"/>
  <c r="P43" i="20"/>
  <c r="P41" i="20"/>
  <c r="P40" i="20"/>
  <c r="P39" i="20"/>
  <c r="P38" i="20"/>
  <c r="P37" i="20"/>
  <c r="P34" i="20"/>
  <c r="P32" i="20"/>
  <c r="P31" i="20"/>
  <c r="P30" i="20"/>
  <c r="P29" i="20"/>
  <c r="P28" i="20"/>
  <c r="Q47" i="17"/>
  <c r="Q41" i="17"/>
  <c r="Q37" i="17"/>
  <c r="Q31" i="17"/>
  <c r="P29" i="17"/>
  <c r="S27" i="17"/>
  <c r="S26" i="17"/>
  <c r="S85" i="18"/>
  <c r="S84" i="18"/>
  <c r="S83" i="18"/>
  <c r="S82" i="18"/>
  <c r="S81" i="18"/>
  <c r="S80" i="18"/>
  <c r="S76" i="18"/>
  <c r="S75" i="18"/>
  <c r="S74" i="18"/>
  <c r="S73" i="18"/>
  <c r="S72" i="18"/>
  <c r="S71" i="18"/>
  <c r="S70" i="18"/>
  <c r="S69" i="18"/>
  <c r="S68" i="18"/>
  <c r="S67" i="18"/>
  <c r="S66" i="18"/>
  <c r="S65" i="18"/>
  <c r="S64" i="18"/>
  <c r="S63" i="18"/>
  <c r="S62" i="18"/>
  <c r="S61" i="18"/>
  <c r="S58" i="18"/>
  <c r="S56" i="18"/>
  <c r="S55" i="18"/>
  <c r="S54" i="18"/>
  <c r="S53" i="18"/>
  <c r="S52" i="18"/>
  <c r="S51" i="18"/>
  <c r="S50" i="18"/>
  <c r="S49" i="18"/>
  <c r="S48" i="18"/>
  <c r="S47" i="18"/>
  <c r="S44" i="18"/>
  <c r="S43" i="18"/>
  <c r="S42" i="18"/>
  <c r="S41" i="18"/>
  <c r="S40" i="18"/>
  <c r="S39" i="18"/>
  <c r="S38" i="18"/>
  <c r="S37" i="18"/>
  <c r="S36" i="18"/>
  <c r="S33" i="18"/>
  <c r="S32" i="18"/>
  <c r="S31" i="18"/>
  <c r="S30" i="18"/>
  <c r="S29" i="18"/>
  <c r="S28" i="18"/>
  <c r="S53" i="19"/>
  <c r="S52" i="19"/>
  <c r="S51" i="19"/>
  <c r="S50" i="19"/>
  <c r="S49" i="19"/>
  <c r="S48" i="19"/>
  <c r="S41" i="19"/>
  <c r="S40" i="19"/>
  <c r="S39" i="19"/>
  <c r="S38" i="19"/>
  <c r="S37" i="19"/>
  <c r="S36" i="19"/>
  <c r="S35" i="19"/>
  <c r="S34" i="19"/>
  <c r="S33" i="19"/>
  <c r="S32" i="19"/>
  <c r="S29" i="19"/>
  <c r="S27" i="19"/>
  <c r="S26" i="19"/>
  <c r="S25" i="19"/>
  <c r="S68" i="20"/>
  <c r="S67" i="20"/>
  <c r="S66" i="20"/>
  <c r="S65" i="20"/>
  <c r="S64" i="20"/>
  <c r="S63" i="20"/>
  <c r="S59" i="20"/>
  <c r="S57" i="20"/>
  <c r="S56" i="20"/>
  <c r="S55" i="20"/>
  <c r="S54" i="20"/>
  <c r="S51" i="20"/>
  <c r="S50" i="20"/>
  <c r="S49" i="20"/>
  <c r="S48" i="20"/>
  <c r="S47" i="20"/>
  <c r="S46" i="20"/>
  <c r="Q46" i="17"/>
  <c r="Q40" i="17"/>
  <c r="Q36" i="17"/>
  <c r="S29" i="17"/>
  <c r="S28" i="17"/>
  <c r="R27" i="17"/>
  <c r="R26" i="17"/>
  <c r="R85" i="18"/>
  <c r="R84" i="18"/>
  <c r="R83" i="18"/>
  <c r="R82" i="18"/>
  <c r="R81" i="18"/>
  <c r="R80" i="18"/>
  <c r="R76" i="18"/>
  <c r="R75" i="18"/>
  <c r="R74" i="18"/>
  <c r="R73" i="18"/>
  <c r="R72" i="18"/>
  <c r="R71" i="18"/>
  <c r="R70" i="18"/>
  <c r="R69" i="18"/>
  <c r="R68" i="18"/>
  <c r="R67" i="18"/>
  <c r="R66" i="18"/>
  <c r="R65" i="18"/>
  <c r="R64" i="18"/>
  <c r="R63" i="18"/>
  <c r="R62" i="18"/>
  <c r="R61" i="18"/>
  <c r="R58" i="18"/>
  <c r="R56" i="18"/>
  <c r="R55" i="18"/>
  <c r="R54" i="18"/>
  <c r="R53" i="18"/>
  <c r="R52" i="18"/>
  <c r="R51" i="18"/>
  <c r="R50" i="18"/>
  <c r="R49" i="18"/>
  <c r="R48" i="18"/>
  <c r="R47" i="18"/>
  <c r="R44" i="18"/>
  <c r="R43" i="18"/>
  <c r="R42" i="18"/>
  <c r="R41" i="18"/>
  <c r="R40" i="18"/>
  <c r="R39" i="18"/>
  <c r="R38" i="18"/>
  <c r="R37" i="18"/>
  <c r="R36" i="18"/>
  <c r="R33" i="18"/>
  <c r="R32" i="18"/>
  <c r="R31" i="18"/>
  <c r="R30" i="18"/>
  <c r="R29" i="18"/>
  <c r="R28" i="18"/>
  <c r="R53" i="19"/>
  <c r="R52" i="19"/>
  <c r="R51" i="19"/>
  <c r="R50" i="19"/>
  <c r="R49" i="19"/>
  <c r="R48" i="19"/>
  <c r="R41" i="19"/>
  <c r="R40" i="19"/>
  <c r="R39" i="19"/>
  <c r="R38" i="19"/>
  <c r="R37" i="19"/>
  <c r="R36" i="19"/>
  <c r="R35" i="19"/>
  <c r="R34" i="19"/>
  <c r="R33" i="19"/>
  <c r="R32" i="19"/>
  <c r="R29" i="19"/>
  <c r="R27" i="19"/>
  <c r="R26" i="19"/>
  <c r="R25" i="19"/>
  <c r="R68" i="20"/>
  <c r="R67" i="20"/>
  <c r="R66" i="20"/>
  <c r="R65" i="20"/>
  <c r="R64" i="20"/>
  <c r="R63" i="20"/>
  <c r="R59" i="20"/>
  <c r="R57" i="20"/>
  <c r="R56" i="20"/>
  <c r="R51" i="20"/>
  <c r="R47" i="20"/>
  <c r="S41" i="20"/>
  <c r="S39" i="20"/>
  <c r="S37" i="20"/>
  <c r="S32" i="20"/>
  <c r="S30" i="20"/>
  <c r="S28" i="20"/>
  <c r="Q100" i="16"/>
  <c r="Q99" i="16"/>
  <c r="Q98" i="16"/>
  <c r="Q97" i="16"/>
  <c r="Q96" i="16"/>
  <c r="Q95" i="16"/>
  <c r="Q91" i="16"/>
  <c r="Q90" i="16"/>
  <c r="Q89" i="16"/>
  <c r="Q88" i="16"/>
  <c r="Q87" i="16"/>
  <c r="Q86" i="16"/>
  <c r="Q85" i="16"/>
  <c r="Q84" i="16"/>
  <c r="Q81" i="16"/>
  <c r="Q80" i="16"/>
  <c r="Q79" i="16"/>
  <c r="Q78" i="16"/>
  <c r="Q77" i="16"/>
  <c r="Q76" i="16"/>
  <c r="Q75" i="16"/>
  <c r="Q74" i="16"/>
  <c r="Q70" i="16"/>
  <c r="Q66" i="16"/>
  <c r="Q65" i="16"/>
  <c r="Q64" i="16"/>
  <c r="Q63" i="16"/>
  <c r="Q62" i="16"/>
  <c r="Q61" i="16"/>
  <c r="Q60" i="16"/>
  <c r="Q59" i="16"/>
  <c r="Q58" i="16"/>
  <c r="Q55" i="16"/>
  <c r="Q54" i="16"/>
  <c r="Q53" i="16"/>
  <c r="Q52" i="16"/>
  <c r="Q51" i="16"/>
  <c r="Q50" i="16"/>
  <c r="Q49" i="16"/>
  <c r="Q48" i="16"/>
  <c r="Q47" i="16"/>
  <c r="Q46" i="16"/>
  <c r="Q45" i="16"/>
  <c r="Q44" i="16"/>
  <c r="Q41" i="16"/>
  <c r="Q39" i="16"/>
  <c r="Q38" i="16"/>
  <c r="Q37" i="16"/>
  <c r="Q36" i="16"/>
  <c r="Q35" i="16"/>
  <c r="Q34" i="16"/>
  <c r="Q33" i="16"/>
  <c r="Q32" i="16"/>
  <c r="Q31" i="16"/>
  <c r="Q52" i="14"/>
  <c r="Q51" i="14"/>
  <c r="Q50" i="14"/>
  <c r="Q49" i="14"/>
  <c r="Q48" i="14"/>
  <c r="Q47" i="14"/>
  <c r="Q43" i="14"/>
  <c r="Q42" i="14"/>
  <c r="Q41" i="14"/>
  <c r="Q40" i="14"/>
  <c r="Q39" i="14"/>
  <c r="Q38" i="14"/>
  <c r="Q37" i="14"/>
  <c r="Q36" i="14"/>
  <c r="Q35" i="14"/>
  <c r="Q34" i="14"/>
  <c r="Q31" i="14"/>
  <c r="Q30" i="14"/>
  <c r="Q29" i="14"/>
  <c r="Q28" i="14"/>
  <c r="Q27" i="14"/>
  <c r="Q26" i="14"/>
  <c r="Q25" i="14"/>
  <c r="Q24" i="14"/>
  <c r="Q67" i="10"/>
  <c r="Q66" i="10"/>
  <c r="Q65" i="10"/>
  <c r="Q64" i="10"/>
  <c r="Q63" i="10"/>
  <c r="P62" i="10"/>
  <c r="P58" i="10"/>
  <c r="P56" i="10"/>
  <c r="P55" i="10"/>
  <c r="P54" i="10"/>
  <c r="S52" i="10"/>
  <c r="S51" i="10"/>
  <c r="S50" i="10"/>
  <c r="S49" i="10"/>
  <c r="S46" i="10"/>
  <c r="S45" i="10"/>
  <c r="S44" i="10"/>
  <c r="S43" i="10"/>
  <c r="S42" i="10"/>
  <c r="S41" i="10"/>
  <c r="S40" i="10"/>
  <c r="S39" i="10"/>
  <c r="S38" i="10"/>
  <c r="S35" i="10"/>
  <c r="S30" i="10"/>
  <c r="S29" i="10"/>
  <c r="S28" i="10"/>
  <c r="S27" i="10"/>
  <c r="P35" i="10"/>
  <c r="P27" i="10"/>
  <c r="R55" i="20"/>
  <c r="R50" i="20"/>
  <c r="R46" i="20"/>
  <c r="R41" i="20"/>
  <c r="R39" i="20"/>
  <c r="R37" i="20"/>
  <c r="R32" i="20"/>
  <c r="R30" i="20"/>
  <c r="R28" i="20"/>
  <c r="P100" i="16"/>
  <c r="P99" i="16"/>
  <c r="P98" i="16"/>
  <c r="P97" i="16"/>
  <c r="P96" i="16"/>
  <c r="P95" i="16"/>
  <c r="P91" i="16"/>
  <c r="P90" i="16"/>
  <c r="P89" i="16"/>
  <c r="P88" i="16"/>
  <c r="P87" i="16"/>
  <c r="P86" i="16"/>
  <c r="P85" i="16"/>
  <c r="P84" i="16"/>
  <c r="P81" i="16"/>
  <c r="P80" i="16"/>
  <c r="P79" i="16"/>
  <c r="P78" i="16"/>
  <c r="P77" i="16"/>
  <c r="P76" i="16"/>
  <c r="P75" i="16"/>
  <c r="P74" i="16"/>
  <c r="P70" i="16"/>
  <c r="P66" i="16"/>
  <c r="P65" i="16"/>
  <c r="P64" i="16"/>
  <c r="P63" i="16"/>
  <c r="P62" i="16"/>
  <c r="P61" i="16"/>
  <c r="P60" i="16"/>
  <c r="P59" i="16"/>
  <c r="P58" i="16"/>
  <c r="P55" i="16"/>
  <c r="P54" i="16"/>
  <c r="P53" i="16"/>
  <c r="P52" i="16"/>
  <c r="P51" i="16"/>
  <c r="P50" i="16"/>
  <c r="P49" i="16"/>
  <c r="P48" i="16"/>
  <c r="P47" i="16"/>
  <c r="P46" i="16"/>
  <c r="P45" i="16"/>
  <c r="P44" i="16"/>
  <c r="P41" i="16"/>
  <c r="P39" i="16"/>
  <c r="P38" i="16"/>
  <c r="P37" i="16"/>
  <c r="P36" i="16"/>
  <c r="P35" i="16"/>
  <c r="P34" i="16"/>
  <c r="P33" i="16"/>
  <c r="P32" i="16"/>
  <c r="P31" i="16"/>
  <c r="P52" i="14"/>
  <c r="P51" i="14"/>
  <c r="P50" i="14"/>
  <c r="P49" i="14"/>
  <c r="P48" i="14"/>
  <c r="P47" i="14"/>
  <c r="P43" i="14"/>
  <c r="P42" i="14"/>
  <c r="P41" i="14"/>
  <c r="P40" i="14"/>
  <c r="P39" i="14"/>
  <c r="P38" i="14"/>
  <c r="P37" i="14"/>
  <c r="P36" i="14"/>
  <c r="P35" i="14"/>
  <c r="P34" i="14"/>
  <c r="P31" i="14"/>
  <c r="P30" i="14"/>
  <c r="P29" i="14"/>
  <c r="P28" i="14"/>
  <c r="P27" i="14"/>
  <c r="P26" i="14"/>
  <c r="P67" i="10"/>
  <c r="P66" i="10"/>
  <c r="P65" i="10"/>
  <c r="P64" i="10"/>
  <c r="S62" i="10"/>
  <c r="S58" i="10"/>
  <c r="S56" i="10"/>
  <c r="S55" i="10"/>
  <c r="S54" i="10"/>
  <c r="S53" i="10"/>
  <c r="R52" i="10"/>
  <c r="R51" i="10"/>
  <c r="R50" i="10"/>
  <c r="R49" i="10"/>
  <c r="R46" i="10"/>
  <c r="R45" i="10"/>
  <c r="R44" i="10"/>
  <c r="R43" i="10"/>
  <c r="R42" i="10"/>
  <c r="R41" i="10"/>
  <c r="R40" i="10"/>
  <c r="R39" i="10"/>
  <c r="R38" i="10"/>
  <c r="R35" i="10"/>
  <c r="R30" i="10"/>
  <c r="R29" i="10"/>
  <c r="R28" i="10"/>
  <c r="R27" i="10"/>
  <c r="P40" i="10"/>
  <c r="P29" i="10"/>
  <c r="R54" i="20"/>
  <c r="R49" i="20"/>
  <c r="S43" i="20"/>
  <c r="S40" i="20"/>
  <c r="S38" i="20"/>
  <c r="S34" i="20"/>
  <c r="S31" i="20"/>
  <c r="S29" i="20"/>
  <c r="S100" i="16"/>
  <c r="S99" i="16"/>
  <c r="S98" i="16"/>
  <c r="S97" i="16"/>
  <c r="S96" i="16"/>
  <c r="S95" i="16"/>
  <c r="S91" i="16"/>
  <c r="S90" i="16"/>
  <c r="S89" i="16"/>
  <c r="S88" i="16"/>
  <c r="S87" i="16"/>
  <c r="S86" i="16"/>
  <c r="S85" i="16"/>
  <c r="S84" i="16"/>
  <c r="S81" i="16"/>
  <c r="S80" i="16"/>
  <c r="S79" i="16"/>
  <c r="S78" i="16"/>
  <c r="S77" i="16"/>
  <c r="S76" i="16"/>
  <c r="S75" i="16"/>
  <c r="S74" i="16"/>
  <c r="S70" i="16"/>
  <c r="S66" i="16"/>
  <c r="S65" i="16"/>
  <c r="S64" i="16"/>
  <c r="S63" i="16"/>
  <c r="S62" i="16"/>
  <c r="S61" i="16"/>
  <c r="S60" i="16"/>
  <c r="S59" i="16"/>
  <c r="S58" i="16"/>
  <c r="S55" i="16"/>
  <c r="S54" i="16"/>
  <c r="S53" i="16"/>
  <c r="S52" i="16"/>
  <c r="S51" i="16"/>
  <c r="S50" i="16"/>
  <c r="S49" i="16"/>
  <c r="S48" i="16"/>
  <c r="S47" i="16"/>
  <c r="S46" i="16"/>
  <c r="S45" i="16"/>
  <c r="S44" i="16"/>
  <c r="S41" i="16"/>
  <c r="S39" i="16"/>
  <c r="S38" i="16"/>
  <c r="S37" i="16"/>
  <c r="S36" i="16"/>
  <c r="S35" i="16"/>
  <c r="S34" i="16"/>
  <c r="S33" i="16"/>
  <c r="S32" i="16"/>
  <c r="S31" i="16"/>
  <c r="S52" i="14"/>
  <c r="S51" i="14"/>
  <c r="S50" i="14"/>
  <c r="S49" i="14"/>
  <c r="S48" i="14"/>
  <c r="S47" i="14"/>
  <c r="S43" i="14"/>
  <c r="S42" i="14"/>
  <c r="S41" i="14"/>
  <c r="S40" i="14"/>
  <c r="S39" i="14"/>
  <c r="S38" i="14"/>
  <c r="S37" i="14"/>
  <c r="S36" i="14"/>
  <c r="S35" i="14"/>
  <c r="S34" i="14"/>
  <c r="S31" i="14"/>
  <c r="S30" i="14"/>
  <c r="S29" i="14"/>
  <c r="S28" i="14"/>
  <c r="S27" i="14"/>
  <c r="S26" i="14"/>
  <c r="S25" i="14"/>
  <c r="S24" i="14"/>
  <c r="S67" i="10"/>
  <c r="S66" i="10"/>
  <c r="S65" i="10"/>
  <c r="S64" i="10"/>
  <c r="S63" i="10"/>
  <c r="R62" i="10"/>
  <c r="R58" i="10"/>
  <c r="R56" i="10"/>
  <c r="R55" i="10"/>
  <c r="R54" i="10"/>
  <c r="R53" i="10"/>
  <c r="Q52" i="10"/>
  <c r="Q51" i="10"/>
  <c r="Q50" i="10"/>
  <c r="Q49" i="10"/>
  <c r="Q46" i="10"/>
  <c r="Q45" i="10"/>
  <c r="Q44" i="10"/>
  <c r="Q43" i="10"/>
  <c r="Q42" i="10"/>
  <c r="Q41" i="10"/>
  <c r="Q40" i="10"/>
  <c r="Q39" i="10"/>
  <c r="Q38" i="10"/>
  <c r="Q35" i="10"/>
  <c r="Q30" i="10"/>
  <c r="Q29" i="10"/>
  <c r="Q28" i="10"/>
  <c r="Q27" i="10"/>
  <c r="P39" i="10"/>
  <c r="P30" i="10"/>
  <c r="R48" i="20"/>
  <c r="R43" i="20"/>
  <c r="R40" i="20"/>
  <c r="R38" i="20"/>
  <c r="R34" i="20"/>
  <c r="R31" i="20"/>
  <c r="R29" i="20"/>
  <c r="R100" i="16"/>
  <c r="R99" i="16"/>
  <c r="R98" i="16"/>
  <c r="R97" i="16"/>
  <c r="R96" i="16"/>
  <c r="R95" i="16"/>
  <c r="R91" i="16"/>
  <c r="R90" i="16"/>
  <c r="R89" i="16"/>
  <c r="R88" i="16"/>
  <c r="R87" i="16"/>
  <c r="R86" i="16"/>
  <c r="R85" i="16"/>
  <c r="R84" i="16"/>
  <c r="R81" i="16"/>
  <c r="R80" i="16"/>
  <c r="R79" i="16"/>
  <c r="R78" i="16"/>
  <c r="R77" i="16"/>
  <c r="R76" i="16"/>
  <c r="R75" i="16"/>
  <c r="R74" i="16"/>
  <c r="R70" i="16"/>
  <c r="R66" i="16"/>
  <c r="R65" i="16"/>
  <c r="R64" i="16"/>
  <c r="R63" i="16"/>
  <c r="R62" i="16"/>
  <c r="R61" i="16"/>
  <c r="R60" i="16"/>
  <c r="R59" i="16"/>
  <c r="R58" i="16"/>
  <c r="R55" i="16"/>
  <c r="R54" i="16"/>
  <c r="R53" i="16"/>
  <c r="R52" i="16"/>
  <c r="R51" i="16"/>
  <c r="R50" i="16"/>
  <c r="R49" i="16"/>
  <c r="R48" i="16"/>
  <c r="R47" i="16"/>
  <c r="R46" i="16"/>
  <c r="R45" i="16"/>
  <c r="R44" i="16"/>
  <c r="R41" i="16"/>
  <c r="R39" i="16"/>
  <c r="R38" i="16"/>
  <c r="R37" i="16"/>
  <c r="R36" i="16"/>
  <c r="R35" i="16"/>
  <c r="R34" i="16"/>
  <c r="R33" i="16"/>
  <c r="R32" i="16"/>
  <c r="R31" i="16"/>
  <c r="R52" i="14"/>
  <c r="R51" i="14"/>
  <c r="R50" i="14"/>
  <c r="R49" i="14"/>
  <c r="R48" i="14"/>
  <c r="R47" i="14"/>
  <c r="R43" i="14"/>
  <c r="R42" i="14"/>
  <c r="R41" i="14"/>
  <c r="R40" i="14"/>
  <c r="R39" i="14"/>
  <c r="R38" i="14"/>
  <c r="R37" i="14"/>
  <c r="R36" i="14"/>
  <c r="R35" i="14"/>
  <c r="R34" i="14"/>
  <c r="R31" i="14"/>
  <c r="R30" i="14"/>
  <c r="R29" i="14"/>
  <c r="R28" i="14"/>
  <c r="R27" i="14"/>
  <c r="R26" i="14"/>
  <c r="R25" i="14"/>
  <c r="R24" i="14"/>
  <c r="R67" i="10"/>
  <c r="R66" i="10"/>
  <c r="R65" i="10"/>
  <c r="R64" i="10"/>
  <c r="R63" i="10"/>
  <c r="Q62" i="10"/>
  <c r="Q58" i="10"/>
  <c r="Q56" i="10"/>
  <c r="Q55" i="10"/>
  <c r="Q54" i="10"/>
  <c r="P53" i="10"/>
  <c r="P52" i="10"/>
  <c r="P51" i="10"/>
  <c r="P50" i="10"/>
  <c r="P49" i="10"/>
  <c r="P46" i="10"/>
  <c r="P45" i="10"/>
  <c r="P44" i="10"/>
  <c r="P43" i="10"/>
  <c r="P42" i="10"/>
  <c r="P41" i="10"/>
  <c r="P38" i="10"/>
  <c r="P28" i="10"/>
  <c r="O98" i="16"/>
  <c r="O91" i="16"/>
  <c r="O87" i="16"/>
  <c r="O81" i="16"/>
  <c r="O77" i="16"/>
  <c r="O70" i="16"/>
  <c r="O63" i="16"/>
  <c r="O59" i="16"/>
  <c r="O52" i="16"/>
  <c r="O48" i="16"/>
  <c r="O97" i="16"/>
  <c r="O90" i="16"/>
  <c r="O86" i="16"/>
  <c r="O80" i="16"/>
  <c r="O76" i="16"/>
  <c r="O66" i="16"/>
  <c r="O62" i="16"/>
  <c r="O58" i="16"/>
  <c r="O51" i="16"/>
  <c r="O47" i="16"/>
  <c r="O100" i="16"/>
  <c r="O96" i="16"/>
  <c r="O89" i="16"/>
  <c r="O85" i="16"/>
  <c r="O79" i="16"/>
  <c r="O75" i="16"/>
  <c r="O65" i="16"/>
  <c r="O61" i="16"/>
  <c r="O54" i="16"/>
  <c r="O50" i="16"/>
  <c r="O46" i="16"/>
  <c r="O88" i="16"/>
  <c r="O64" i="16"/>
  <c r="O41" i="16"/>
  <c r="O36" i="16"/>
  <c r="O32" i="16"/>
  <c r="O66" i="20"/>
  <c r="O59" i="20"/>
  <c r="O54" i="20"/>
  <c r="O49" i="20"/>
  <c r="O43" i="20"/>
  <c r="O38" i="20"/>
  <c r="O31" i="20"/>
  <c r="O53" i="19"/>
  <c r="O49" i="19"/>
  <c r="O40" i="19"/>
  <c r="O36" i="19"/>
  <c r="O84" i="16"/>
  <c r="O60" i="16"/>
  <c r="O39" i="16"/>
  <c r="O35" i="16"/>
  <c r="O31" i="16"/>
  <c r="O65" i="20"/>
  <c r="O57" i="20"/>
  <c r="O48" i="20"/>
  <c r="O41" i="20"/>
  <c r="O37" i="20"/>
  <c r="O30" i="20"/>
  <c r="O52" i="19"/>
  <c r="O48" i="19"/>
  <c r="O99" i="16"/>
  <c r="O78" i="16"/>
  <c r="O53" i="16"/>
  <c r="O45" i="16"/>
  <c r="O38" i="16"/>
  <c r="O34" i="16"/>
  <c r="O68" i="20"/>
  <c r="O64" i="20"/>
  <c r="O56" i="20"/>
  <c r="O51" i="20"/>
  <c r="O47" i="20"/>
  <c r="O40" i="20"/>
  <c r="O34" i="20"/>
  <c r="O29" i="20"/>
  <c r="O51" i="19"/>
  <c r="O33" i="16"/>
  <c r="O50" i="20"/>
  <c r="O28" i="20"/>
  <c r="O39" i="19"/>
  <c r="O38" i="19"/>
  <c r="O37" i="19"/>
  <c r="O29" i="19"/>
  <c r="O82" i="18"/>
  <c r="O76" i="18"/>
  <c r="O72" i="18"/>
  <c r="O68" i="18"/>
  <c r="O64" i="18"/>
  <c r="O58" i="18"/>
  <c r="O53" i="18"/>
  <c r="O49" i="18"/>
  <c r="O43" i="18"/>
  <c r="O39" i="18"/>
  <c r="O33" i="18"/>
  <c r="O95" i="16"/>
  <c r="O67" i="20"/>
  <c r="O46" i="20"/>
  <c r="O50" i="19"/>
  <c r="O27" i="19"/>
  <c r="O85" i="18"/>
  <c r="O81" i="18"/>
  <c r="O75" i="18"/>
  <c r="O71" i="18"/>
  <c r="O67" i="18"/>
  <c r="O63" i="18"/>
  <c r="O56" i="18"/>
  <c r="O52" i="18"/>
  <c r="O48" i="18"/>
  <c r="O42" i="18"/>
  <c r="O74" i="16"/>
  <c r="O44" i="16"/>
  <c r="O63" i="20"/>
  <c r="O39" i="20"/>
  <c r="O26" i="19"/>
  <c r="O84" i="18"/>
  <c r="O80" i="18"/>
  <c r="O74" i="18"/>
  <c r="O70" i="18"/>
  <c r="O66" i="18"/>
  <c r="O62" i="18"/>
  <c r="O55" i="18"/>
  <c r="O51" i="18"/>
  <c r="O47" i="18"/>
  <c r="O41" i="18"/>
  <c r="O49" i="16"/>
  <c r="O32" i="20"/>
  <c r="O41" i="19"/>
  <c r="O32" i="19"/>
  <c r="O73" i="18"/>
  <c r="O54" i="18"/>
  <c r="O29" i="18"/>
  <c r="O59" i="17"/>
  <c r="O49" i="17"/>
  <c r="O39" i="17"/>
  <c r="O35" i="17"/>
  <c r="O28" i="17"/>
  <c r="O66" i="10"/>
  <c r="O62" i="10"/>
  <c r="O54" i="10"/>
  <c r="O50" i="10"/>
  <c r="O44" i="10"/>
  <c r="O40" i="10"/>
  <c r="O30" i="10"/>
  <c r="O26" i="10"/>
  <c r="O72" i="1"/>
  <c r="O65" i="1"/>
  <c r="O59" i="1"/>
  <c r="O55" i="1"/>
  <c r="O49" i="1"/>
  <c r="O45" i="1"/>
  <c r="O41" i="1"/>
  <c r="O29" i="1"/>
  <c r="O56" i="21"/>
  <c r="O49" i="21"/>
  <c r="O45" i="21"/>
  <c r="O35" i="19"/>
  <c r="O25" i="19"/>
  <c r="O69" i="18"/>
  <c r="O50" i="18"/>
  <c r="O38" i="18"/>
  <c r="O37" i="18"/>
  <c r="O36" i="18"/>
  <c r="O32" i="18"/>
  <c r="O28" i="18"/>
  <c r="O58" i="17"/>
  <c r="O52" i="17"/>
  <c r="O48" i="17"/>
  <c r="O42" i="17"/>
  <c r="O38" i="17"/>
  <c r="O34" i="17"/>
  <c r="O27" i="17"/>
  <c r="O65" i="10"/>
  <c r="O58" i="10"/>
  <c r="O53" i="10"/>
  <c r="O49" i="10"/>
  <c r="O43" i="10"/>
  <c r="O39" i="10"/>
  <c r="O29" i="10"/>
  <c r="O75" i="1"/>
  <c r="O71" i="1"/>
  <c r="O64" i="1"/>
  <c r="O58" i="1"/>
  <c r="O54" i="1"/>
  <c r="O48" i="1"/>
  <c r="O44" i="1"/>
  <c r="O40" i="1"/>
  <c r="O32" i="1"/>
  <c r="O28" i="1"/>
  <c r="O55" i="21"/>
  <c r="O48" i="21"/>
  <c r="O37" i="16"/>
  <c r="O34" i="19"/>
  <c r="O83" i="18"/>
  <c r="O65" i="18"/>
  <c r="O44" i="18"/>
  <c r="O31" i="18"/>
  <c r="O61" i="17"/>
  <c r="O57" i="17"/>
  <c r="O51" i="17"/>
  <c r="O47" i="17"/>
  <c r="O41" i="17"/>
  <c r="O37" i="17"/>
  <c r="O31" i="17"/>
  <c r="O26" i="17"/>
  <c r="O64" i="10"/>
  <c r="O56" i="10"/>
  <c r="O52" i="10"/>
  <c r="O46" i="10"/>
  <c r="O42" i="10"/>
  <c r="O38" i="10"/>
  <c r="O28" i="10"/>
  <c r="O74" i="1"/>
  <c r="O70" i="1"/>
  <c r="O63" i="1"/>
  <c r="O57" i="1"/>
  <c r="O53" i="1"/>
  <c r="O47" i="1"/>
  <c r="O43" i="1"/>
  <c r="O39" i="1"/>
  <c r="O31" i="1"/>
  <c r="O58" i="21"/>
  <c r="O54" i="21"/>
  <c r="O47" i="21"/>
  <c r="O43" i="21"/>
  <c r="O40" i="18"/>
  <c r="O30" i="18"/>
  <c r="O46" i="17"/>
  <c r="O67" i="10"/>
  <c r="O45" i="10"/>
  <c r="O73" i="1"/>
  <c r="O50" i="1"/>
  <c r="O30" i="1"/>
  <c r="O46" i="21"/>
  <c r="O31" i="21"/>
  <c r="O27" i="21"/>
  <c r="O72" i="8"/>
  <c r="O68" i="8"/>
  <c r="O58" i="8"/>
  <c r="O49" i="8"/>
  <c r="O44" i="8"/>
  <c r="O60" i="17"/>
  <c r="O40" i="17"/>
  <c r="O63" i="10"/>
  <c r="O41" i="10"/>
  <c r="O66" i="1"/>
  <c r="O46" i="1"/>
  <c r="O57" i="21"/>
  <c r="O44" i="21"/>
  <c r="O41" i="21"/>
  <c r="O34" i="21"/>
  <c r="O30" i="21"/>
  <c r="O26" i="21"/>
  <c r="O71" i="8"/>
  <c r="O67" i="8"/>
  <c r="O57" i="8"/>
  <c r="O52" i="8"/>
  <c r="O48" i="8"/>
  <c r="O43" i="8"/>
  <c r="O55" i="20"/>
  <c r="O33" i="19"/>
  <c r="O56" i="17"/>
  <c r="O36" i="17"/>
  <c r="O55" i="10"/>
  <c r="O35" i="10"/>
  <c r="O62" i="1"/>
  <c r="O42" i="1"/>
  <c r="O53" i="21"/>
  <c r="O42" i="21"/>
  <c r="O40" i="21"/>
  <c r="O33" i="21"/>
  <c r="O29" i="21"/>
  <c r="O25" i="21"/>
  <c r="O70" i="8"/>
  <c r="O63" i="8"/>
  <c r="O56" i="8"/>
  <c r="O51" i="8"/>
  <c r="O61" i="18"/>
  <c r="O50" i="17"/>
  <c r="O29" i="17"/>
  <c r="O51" i="10"/>
  <c r="O27" i="10"/>
  <c r="O56" i="1"/>
  <c r="O38" i="1"/>
  <c r="O39" i="21"/>
  <c r="O32" i="21"/>
  <c r="O28" i="21"/>
  <c r="O24" i="21"/>
  <c r="O69" i="8"/>
  <c r="O59" i="8"/>
  <c r="O55" i="8"/>
  <c r="O50" i="8"/>
  <c r="O39" i="8"/>
  <c r="O34" i="8"/>
  <c r="O30" i="8"/>
  <c r="O55" i="12"/>
  <c r="O51" i="12"/>
  <c r="O44" i="12"/>
  <c r="O40" i="12"/>
  <c r="O36" i="12"/>
  <c r="O29" i="12"/>
  <c r="O25" i="12"/>
  <c r="O24" i="12"/>
  <c r="O45" i="8"/>
  <c r="O38" i="8"/>
  <c r="O33" i="8"/>
  <c r="O29" i="8"/>
  <c r="O54" i="12"/>
  <c r="O50" i="12"/>
  <c r="O43" i="12"/>
  <c r="O39" i="12"/>
  <c r="O35" i="12"/>
  <c r="O28" i="12"/>
  <c r="O42" i="8"/>
  <c r="O41" i="8"/>
  <c r="O32" i="8"/>
  <c r="O28" i="8"/>
  <c r="O53" i="12"/>
  <c r="O49" i="12"/>
  <c r="O42" i="12"/>
  <c r="O38" i="12"/>
  <c r="O31" i="12"/>
  <c r="O27" i="12"/>
  <c r="O40" i="8"/>
  <c r="O35" i="8"/>
  <c r="O31" i="8"/>
  <c r="O56" i="12"/>
  <c r="O52" i="12"/>
  <c r="O45" i="12"/>
  <c r="O41" i="12"/>
  <c r="O37" i="12"/>
  <c r="O30" i="12"/>
  <c r="O26" i="12"/>
  <c r="H7" i="13"/>
  <c r="H3" i="8"/>
  <c r="H3" i="12"/>
  <c r="C19" i="13"/>
  <c r="C5" i="13"/>
  <c r="C4" i="14"/>
  <c r="C3" i="13"/>
  <c r="C7" i="13"/>
  <c r="I7" i="13"/>
  <c r="F7" i="13"/>
  <c r="J7" i="13"/>
  <c r="L7" i="13"/>
  <c r="G7" i="13"/>
  <c r="K7" i="13"/>
  <c r="J18" i="32"/>
  <c r="J7" i="32"/>
  <c r="M18" i="32"/>
  <c r="M7" i="32"/>
  <c r="M6" i="32"/>
  <c r="J6" i="32"/>
  <c r="C4" i="10"/>
  <c r="F52" i="14" l="1"/>
  <c r="F51" i="14"/>
  <c r="F50" i="14"/>
  <c r="F48" i="14"/>
  <c r="F47" i="14"/>
  <c r="F43" i="14"/>
  <c r="F42" i="14"/>
  <c r="F41" i="14"/>
  <c r="F40" i="14"/>
  <c r="F39" i="14"/>
  <c r="F38" i="14"/>
  <c r="F37" i="14"/>
  <c r="F36" i="14"/>
  <c r="F35" i="14"/>
  <c r="F34" i="14"/>
  <c r="F31" i="14"/>
  <c r="F30" i="14"/>
  <c r="F29" i="14"/>
  <c r="F28" i="14"/>
  <c r="F27" i="14"/>
  <c r="F26" i="14"/>
  <c r="F25" i="14"/>
  <c r="F100" i="16"/>
  <c r="F99" i="16"/>
  <c r="F98" i="16"/>
  <c r="F97" i="16"/>
  <c r="F96" i="16"/>
  <c r="F95" i="16"/>
  <c r="F79" i="16"/>
  <c r="F78" i="16"/>
  <c r="F77" i="16"/>
  <c r="F76" i="16"/>
  <c r="F75" i="16"/>
  <c r="F74" i="16"/>
  <c r="F62" i="16"/>
  <c r="F61" i="16"/>
  <c r="F60" i="16"/>
  <c r="F59" i="16"/>
  <c r="F46" i="16"/>
  <c r="F45" i="16"/>
  <c r="F44" i="16"/>
  <c r="F39" i="16"/>
  <c r="F38" i="16"/>
  <c r="F37" i="16"/>
  <c r="F36" i="16"/>
  <c r="F35" i="16"/>
  <c r="F34" i="16"/>
  <c r="F33" i="16"/>
  <c r="F32" i="16"/>
  <c r="F68" i="20"/>
  <c r="F67" i="20"/>
  <c r="F66" i="20"/>
  <c r="F65" i="20"/>
  <c r="F64" i="20"/>
  <c r="F63" i="20"/>
  <c r="F59" i="20"/>
  <c r="F57" i="20"/>
  <c r="F56" i="20"/>
  <c r="F55" i="20"/>
  <c r="F54" i="20"/>
  <c r="F51" i="20"/>
  <c r="F50" i="20"/>
  <c r="F49" i="20"/>
  <c r="F48" i="20"/>
  <c r="F47" i="20"/>
  <c r="F46" i="20"/>
  <c r="F43" i="20"/>
  <c r="F41" i="20"/>
  <c r="F40" i="20"/>
  <c r="F39" i="20"/>
  <c r="F38" i="20"/>
  <c r="F37" i="20"/>
  <c r="F34" i="20"/>
  <c r="F32" i="20"/>
  <c r="F31" i="20"/>
  <c r="F30" i="20"/>
  <c r="F29" i="20"/>
  <c r="F53" i="19"/>
  <c r="F52" i="19"/>
  <c r="F51" i="19"/>
  <c r="F50" i="19"/>
  <c r="F49" i="19"/>
  <c r="F48" i="19"/>
  <c r="F44" i="19"/>
  <c r="F41" i="19"/>
  <c r="F40" i="19"/>
  <c r="F39" i="19"/>
  <c r="F38" i="19"/>
  <c r="F37" i="19"/>
  <c r="F36" i="19"/>
  <c r="F35" i="19"/>
  <c r="F34" i="19"/>
  <c r="F33" i="19"/>
  <c r="F32" i="19"/>
  <c r="F29" i="19"/>
  <c r="F27" i="19"/>
  <c r="F26" i="19"/>
  <c r="F25" i="19"/>
  <c r="F85" i="18"/>
  <c r="F84" i="18"/>
  <c r="F83" i="18"/>
  <c r="F82" i="18"/>
  <c r="F81" i="18"/>
  <c r="F80" i="18"/>
  <c r="F56" i="18"/>
  <c r="F55" i="18"/>
  <c r="F54" i="18"/>
  <c r="F53" i="18"/>
  <c r="F52" i="18"/>
  <c r="F51" i="18"/>
  <c r="F50" i="18"/>
  <c r="F49" i="18"/>
  <c r="F48" i="18"/>
  <c r="F47" i="18"/>
  <c r="F44" i="18"/>
  <c r="F43" i="18"/>
  <c r="F42" i="18"/>
  <c r="F41" i="18"/>
  <c r="F40" i="18"/>
  <c r="F39" i="18"/>
  <c r="F38" i="18"/>
  <c r="F37" i="18"/>
  <c r="F36" i="18"/>
  <c r="F33" i="18"/>
  <c r="F32" i="18"/>
  <c r="F31" i="18"/>
  <c r="F30" i="18"/>
  <c r="F29" i="18"/>
  <c r="F61" i="17"/>
  <c r="F60" i="17"/>
  <c r="F59" i="17"/>
  <c r="F58" i="17"/>
  <c r="F57" i="17"/>
  <c r="F56" i="17"/>
  <c r="F52" i="17"/>
  <c r="F51" i="17"/>
  <c r="F50" i="17"/>
  <c r="F49" i="17"/>
  <c r="F48" i="17"/>
  <c r="F47" i="17"/>
  <c r="F46" i="17"/>
  <c r="F42" i="17"/>
  <c r="F41" i="17"/>
  <c r="F40" i="17"/>
  <c r="F39" i="17"/>
  <c r="F38" i="17"/>
  <c r="F37" i="17"/>
  <c r="F36" i="17"/>
  <c r="F35" i="17"/>
  <c r="F34" i="17"/>
  <c r="F29" i="17"/>
  <c r="F28" i="17"/>
  <c r="F27" i="17"/>
  <c r="F58" i="21"/>
  <c r="F57" i="21"/>
  <c r="F56" i="21"/>
  <c r="F55" i="21"/>
  <c r="F54" i="21"/>
  <c r="F53" i="21"/>
  <c r="F49" i="21"/>
  <c r="F48" i="21"/>
  <c r="F47" i="21"/>
  <c r="F46" i="21"/>
  <c r="F45" i="21"/>
  <c r="F44" i="21"/>
  <c r="F43" i="21"/>
  <c r="F42" i="21"/>
  <c r="F41" i="21"/>
  <c r="F40" i="21"/>
  <c r="F39" i="21"/>
  <c r="F36" i="21"/>
  <c r="F34" i="21"/>
  <c r="F33" i="21"/>
  <c r="F32" i="21"/>
  <c r="F31" i="21"/>
  <c r="F30" i="21"/>
  <c r="F29" i="21"/>
  <c r="F28" i="21"/>
  <c r="F27" i="21"/>
  <c r="F26" i="21"/>
  <c r="F25" i="21"/>
  <c r="F67" i="10"/>
  <c r="F66" i="10"/>
  <c r="F65" i="10"/>
  <c r="F64" i="10"/>
  <c r="F63" i="10"/>
  <c r="F62" i="10"/>
  <c r="F45" i="10"/>
  <c r="F44" i="10"/>
  <c r="F43" i="10"/>
  <c r="F42" i="10"/>
  <c r="F41" i="10"/>
  <c r="F40" i="10"/>
  <c r="F39" i="10"/>
  <c r="F38" i="10"/>
  <c r="F35" i="10"/>
  <c r="F30" i="10"/>
  <c r="F29" i="10"/>
  <c r="F28" i="10"/>
  <c r="F27" i="10"/>
  <c r="F72" i="8"/>
  <c r="F71" i="8"/>
  <c r="F70" i="8"/>
  <c r="F69" i="8"/>
  <c r="F68" i="8"/>
  <c r="F67" i="8"/>
  <c r="F63" i="8"/>
  <c r="F59" i="8"/>
  <c r="F58" i="8"/>
  <c r="F57" i="8"/>
  <c r="F56" i="8"/>
  <c r="F55" i="8"/>
  <c r="F52" i="8"/>
  <c r="F51" i="8"/>
  <c r="F50" i="8"/>
  <c r="F49" i="8"/>
  <c r="F48" i="8"/>
  <c r="F43" i="8"/>
  <c r="F42" i="8"/>
  <c r="F41" i="8"/>
  <c r="F40" i="8"/>
  <c r="F39" i="8"/>
  <c r="F38" i="8"/>
  <c r="F33" i="8"/>
  <c r="F32" i="8"/>
  <c r="F31" i="8"/>
  <c r="F30" i="8"/>
  <c r="F29" i="8"/>
  <c r="F24" i="14"/>
  <c r="F31" i="16"/>
  <c r="F28" i="20"/>
  <c r="F24" i="19"/>
  <c r="F28" i="18"/>
  <c r="F26" i="17"/>
  <c r="F24" i="21"/>
  <c r="F26" i="10"/>
  <c r="F28" i="8"/>
  <c r="F33" i="6"/>
  <c r="J32" i="6"/>
  <c r="F34" i="6"/>
  <c r="F30" i="6"/>
  <c r="J31" i="6"/>
  <c r="J33" i="6"/>
  <c r="J34" i="6"/>
  <c r="J30" i="6"/>
  <c r="F31" i="6"/>
  <c r="F35" i="1" l="1"/>
  <c r="F32" i="1"/>
  <c r="F31" i="1"/>
  <c r="F30" i="1"/>
  <c r="F29" i="1"/>
  <c r="F28" i="1"/>
  <c r="F58" i="1"/>
  <c r="F57" i="1"/>
  <c r="F56" i="1"/>
  <c r="F55" i="1"/>
  <c r="F54" i="1"/>
  <c r="F53" i="1"/>
  <c r="F59" i="1"/>
  <c r="I234" i="5" l="1"/>
  <c r="E498" i="60" s="1"/>
  <c r="G498" i="60" s="1"/>
  <c r="I232" i="5"/>
  <c r="I236" i="5"/>
  <c r="I231" i="5"/>
  <c r="I235" i="5"/>
  <c r="I233" i="5"/>
  <c r="E497" i="60" l="1"/>
  <c r="G497" i="60" s="1"/>
  <c r="E496" i="60"/>
  <c r="G496" i="60" s="1"/>
  <c r="E493" i="60"/>
  <c r="G493" i="60" s="1"/>
  <c r="E492" i="60"/>
  <c r="G492" i="60" s="1"/>
  <c r="E503" i="60"/>
  <c r="G503" i="60" s="1"/>
  <c r="E504" i="60"/>
  <c r="G504" i="60" s="1"/>
  <c r="E502" i="60"/>
  <c r="G502" i="60" s="1"/>
  <c r="E500" i="60"/>
  <c r="G500" i="60" s="1"/>
  <c r="E501" i="60"/>
  <c r="G501" i="60" s="1"/>
  <c r="E499" i="60"/>
  <c r="G499" i="60" s="1"/>
  <c r="E494" i="60"/>
  <c r="G494" i="60" s="1"/>
  <c r="E495" i="60"/>
  <c r="G495" i="60" s="1"/>
  <c r="D39" i="6"/>
  <c r="C13" i="12"/>
  <c r="E7" i="12"/>
  <c r="E9" i="12"/>
  <c r="E7" i="1"/>
  <c r="C4" i="1"/>
  <c r="E9" i="1"/>
  <c r="E8" i="1"/>
  <c r="E30" i="1"/>
  <c r="E50" i="14"/>
  <c r="E43" i="14"/>
  <c r="E39" i="14"/>
  <c r="E35" i="14"/>
  <c r="D32" i="14"/>
  <c r="E28" i="14"/>
  <c r="E24" i="14"/>
  <c r="E9" i="14"/>
  <c r="E68" i="20"/>
  <c r="E64" i="20"/>
  <c r="D60" i="20"/>
  <c r="E55" i="20"/>
  <c r="D52" i="20"/>
  <c r="E48" i="20"/>
  <c r="E40" i="20"/>
  <c r="E32" i="20"/>
  <c r="E28" i="20"/>
  <c r="E10" i="20"/>
  <c r="C6" i="20"/>
  <c r="E53" i="19"/>
  <c r="E49" i="19"/>
  <c r="D45" i="19"/>
  <c r="E44" i="19"/>
  <c r="E38" i="19"/>
  <c r="E34" i="19"/>
  <c r="E29" i="19"/>
  <c r="E24" i="19"/>
  <c r="C6" i="19"/>
  <c r="E85" i="18"/>
  <c r="E81" i="18"/>
  <c r="D77" i="18"/>
  <c r="E53" i="18"/>
  <c r="E49" i="18"/>
  <c r="E42" i="18"/>
  <c r="E48" i="14"/>
  <c r="D44" i="14"/>
  <c r="E42" i="14"/>
  <c r="E38" i="14"/>
  <c r="E34" i="14"/>
  <c r="E31" i="14"/>
  <c r="E27" i="14"/>
  <c r="E7" i="14"/>
  <c r="E67" i="20"/>
  <c r="E63" i="20"/>
  <c r="E59" i="20"/>
  <c r="E54" i="20"/>
  <c r="E51" i="20"/>
  <c r="E47" i="20"/>
  <c r="D44" i="20"/>
  <c r="E39" i="20"/>
  <c r="E52" i="14"/>
  <c r="E37" i="14"/>
  <c r="E26" i="14"/>
  <c r="C13" i="14"/>
  <c r="E57" i="20"/>
  <c r="E46" i="20"/>
  <c r="E43" i="20"/>
  <c r="E34" i="20"/>
  <c r="C13" i="20"/>
  <c r="E8" i="20"/>
  <c r="E50" i="19"/>
  <c r="E39" i="19"/>
  <c r="E33" i="19"/>
  <c r="C13" i="19"/>
  <c r="C4" i="19"/>
  <c r="E83" i="18"/>
  <c r="E56" i="18"/>
  <c r="E51" i="18"/>
  <c r="D45" i="18"/>
  <c r="E40" i="18"/>
  <c r="E36" i="18"/>
  <c r="E33" i="18"/>
  <c r="E29" i="18"/>
  <c r="D12" i="18"/>
  <c r="E8" i="18"/>
  <c r="C4" i="18"/>
  <c r="E60" i="17"/>
  <c r="E56" i="17"/>
  <c r="E49" i="17"/>
  <c r="E42" i="17"/>
  <c r="E38" i="17"/>
  <c r="E34" i="17"/>
  <c r="E29" i="17"/>
  <c r="E7" i="17"/>
  <c r="E55" i="21"/>
  <c r="E49" i="21"/>
  <c r="E45" i="21"/>
  <c r="E41" i="21"/>
  <c r="E33" i="21"/>
  <c r="E29" i="21"/>
  <c r="E25" i="21"/>
  <c r="D12" i="21"/>
  <c r="E7" i="21"/>
  <c r="E64" i="10"/>
  <c r="E43" i="10"/>
  <c r="E39" i="10"/>
  <c r="D36" i="10"/>
  <c r="E29" i="10"/>
  <c r="E8" i="10"/>
  <c r="E57" i="1"/>
  <c r="E53" i="1"/>
  <c r="E29" i="1"/>
  <c r="E70" i="8"/>
  <c r="E59" i="8"/>
  <c r="E55" i="8"/>
  <c r="E49" i="8"/>
  <c r="D46" i="8"/>
  <c r="E40" i="8"/>
  <c r="E31" i="8"/>
  <c r="E8" i="8"/>
  <c r="C4" i="8"/>
  <c r="C16" i="13"/>
  <c r="C12" i="13"/>
  <c r="E51" i="14"/>
  <c r="E29" i="14"/>
  <c r="D12" i="14"/>
  <c r="C6" i="14"/>
  <c r="E38" i="20"/>
  <c r="D35" i="20"/>
  <c r="E37" i="19"/>
  <c r="E7" i="19"/>
  <c r="E82" i="18"/>
  <c r="E52" i="18"/>
  <c r="E43" i="18"/>
  <c r="E37" i="18"/>
  <c r="E31" i="18"/>
  <c r="C6" i="18"/>
  <c r="E59" i="17"/>
  <c r="D53" i="17"/>
  <c r="E48" i="17"/>
  <c r="E37" i="17"/>
  <c r="D32" i="17"/>
  <c r="D12" i="17"/>
  <c r="E9" i="17"/>
  <c r="C6" i="17"/>
  <c r="E57" i="21"/>
  <c r="D50" i="21"/>
  <c r="E47" i="21"/>
  <c r="E42" i="21"/>
  <c r="E36" i="21"/>
  <c r="E30" i="21"/>
  <c r="E24" i="21"/>
  <c r="E9" i="21"/>
  <c r="C6" i="21"/>
  <c r="E66" i="10"/>
  <c r="D59" i="10"/>
  <c r="E41" i="10"/>
  <c r="E27" i="10"/>
  <c r="E9" i="10"/>
  <c r="E7" i="10"/>
  <c r="E58" i="1"/>
  <c r="E69" i="8"/>
  <c r="E63" i="8"/>
  <c r="E50" i="8"/>
  <c r="E42" i="8"/>
  <c r="D36" i="8"/>
  <c r="E29" i="8"/>
  <c r="E11" i="8"/>
  <c r="C6" i="8"/>
  <c r="C14" i="13"/>
  <c r="H33" i="6"/>
  <c r="H31" i="6"/>
  <c r="E47" i="14"/>
  <c r="E41" i="14"/>
  <c r="E25" i="14"/>
  <c r="E66" i="20"/>
  <c r="E37" i="20"/>
  <c r="E31" i="20"/>
  <c r="E11" i="20"/>
  <c r="E52" i="19"/>
  <c r="E36" i="19"/>
  <c r="E27" i="19"/>
  <c r="E9" i="19"/>
  <c r="E80" i="18"/>
  <c r="E50" i="18"/>
  <c r="E41" i="18"/>
  <c r="E30" i="18"/>
  <c r="E58" i="17"/>
  <c r="E52" i="17"/>
  <c r="E47" i="17"/>
  <c r="E41" i="17"/>
  <c r="E36" i="17"/>
  <c r="E28" i="17"/>
  <c r="C4" i="17"/>
  <c r="E56" i="21"/>
  <c r="E46" i="21"/>
  <c r="E40" i="21"/>
  <c r="E34" i="21"/>
  <c r="E28" i="21"/>
  <c r="C13" i="21"/>
  <c r="C4" i="21"/>
  <c r="E65" i="10"/>
  <c r="E45" i="10"/>
  <c r="E40" i="10"/>
  <c r="E26" i="10"/>
  <c r="C6" i="10"/>
  <c r="E56" i="1"/>
  <c r="D51" i="1"/>
  <c r="E28" i="1"/>
  <c r="E68" i="8"/>
  <c r="E58" i="8"/>
  <c r="D53" i="8"/>
  <c r="E48" i="8"/>
  <c r="E41" i="8"/>
  <c r="C13" i="8"/>
  <c r="C13" i="13"/>
  <c r="D12" i="12"/>
  <c r="D33" i="6"/>
  <c r="D31" i="6"/>
  <c r="D12" i="10"/>
  <c r="E33" i="8"/>
  <c r="C18" i="13"/>
  <c r="E40" i="14"/>
  <c r="E65" i="20"/>
  <c r="E56" i="20"/>
  <c r="E50" i="20"/>
  <c r="E30" i="20"/>
  <c r="E7" i="20"/>
  <c r="E51" i="19"/>
  <c r="E41" i="19"/>
  <c r="E35" i="19"/>
  <c r="E26" i="19"/>
  <c r="E8" i="19"/>
  <c r="E55" i="18"/>
  <c r="E48" i="18"/>
  <c r="E39" i="18"/>
  <c r="D34" i="18"/>
  <c r="E28" i="18"/>
  <c r="E10" i="18"/>
  <c r="E57" i="17"/>
  <c r="E51" i="17"/>
  <c r="E46" i="17"/>
  <c r="E40" i="17"/>
  <c r="E35" i="17"/>
  <c r="E27" i="17"/>
  <c r="E10" i="17"/>
  <c r="E8" i="17"/>
  <c r="E54" i="21"/>
  <c r="E44" i="21"/>
  <c r="E39" i="21"/>
  <c r="E32" i="21"/>
  <c r="E27" i="21"/>
  <c r="E8" i="21"/>
  <c r="E63" i="10"/>
  <c r="E44" i="10"/>
  <c r="E38" i="10"/>
  <c r="E30" i="10"/>
  <c r="E55" i="1"/>
  <c r="D36" i="1"/>
  <c r="E32" i="1"/>
  <c r="C13" i="1"/>
  <c r="E72" i="8"/>
  <c r="E30" i="14"/>
  <c r="E29" i="20"/>
  <c r="E48" i="19"/>
  <c r="D30" i="19"/>
  <c r="E84" i="18"/>
  <c r="E44" i="18"/>
  <c r="E61" i="17"/>
  <c r="E48" i="21"/>
  <c r="E31" i="21"/>
  <c r="E42" i="10"/>
  <c r="E54" i="1"/>
  <c r="C6" i="1"/>
  <c r="E39" i="8"/>
  <c r="E32" i="8"/>
  <c r="C17" i="13"/>
  <c r="E49" i="20"/>
  <c r="D12" i="20"/>
  <c r="E25" i="19"/>
  <c r="E38" i="18"/>
  <c r="C13" i="18"/>
  <c r="D43" i="17"/>
  <c r="E26" i="17"/>
  <c r="E58" i="21"/>
  <c r="E43" i="21"/>
  <c r="E26" i="21"/>
  <c r="E67" i="10"/>
  <c r="E31" i="1"/>
  <c r="E71" i="8"/>
  <c r="D64" i="8"/>
  <c r="E38" i="8"/>
  <c r="E30" i="8"/>
  <c r="E7" i="8"/>
  <c r="C15" i="13"/>
  <c r="D32" i="6"/>
  <c r="E47" i="18"/>
  <c r="E50" i="17"/>
  <c r="D37" i="21"/>
  <c r="E59" i="1"/>
  <c r="E56" i="8"/>
  <c r="E9" i="8"/>
  <c r="C10" i="13"/>
  <c r="C6" i="12"/>
  <c r="D34" i="6"/>
  <c r="H32" i="6"/>
  <c r="E8" i="14"/>
  <c r="E41" i="20"/>
  <c r="E9" i="20"/>
  <c r="E40" i="19"/>
  <c r="D12" i="19"/>
  <c r="E54" i="18"/>
  <c r="E9" i="18"/>
  <c r="E39" i="17"/>
  <c r="C13" i="17"/>
  <c r="E53" i="21"/>
  <c r="E62" i="10"/>
  <c r="E57" i="8"/>
  <c r="E52" i="8"/>
  <c r="E10" i="8"/>
  <c r="C11" i="13"/>
  <c r="H34" i="6"/>
  <c r="H30" i="6"/>
  <c r="E36" i="14"/>
  <c r="C4" i="20"/>
  <c r="E32" i="19"/>
  <c r="E32" i="18"/>
  <c r="E7" i="18"/>
  <c r="E28" i="10"/>
  <c r="E51" i="8"/>
  <c r="D30" i="6"/>
  <c r="E312" i="39" l="1"/>
  <c r="B309" i="58"/>
  <c r="B306" i="58"/>
  <c r="E309" i="39"/>
  <c r="E311" i="39"/>
  <c r="B308" i="58"/>
  <c r="E308" i="39"/>
  <c r="B305" i="58"/>
  <c r="E313" i="39"/>
  <c r="B310" i="58"/>
  <c r="E314" i="39"/>
  <c r="B311" i="58"/>
  <c r="B307" i="58"/>
  <c r="E310" i="39"/>
  <c r="B312" i="58"/>
  <c r="E315" i="39"/>
  <c r="E179" i="39"/>
  <c r="B176" i="58"/>
  <c r="E174" i="39"/>
  <c r="B171" i="58"/>
  <c r="E173" i="39"/>
  <c r="B170" i="58"/>
  <c r="E176" i="39"/>
  <c r="B173" i="58"/>
  <c r="E172" i="39"/>
  <c r="B169" i="58"/>
  <c r="E177" i="39"/>
  <c r="B174" i="58"/>
  <c r="E178" i="39"/>
  <c r="B175" i="58"/>
  <c r="E175" i="39"/>
  <c r="B172" i="58"/>
  <c r="I39" i="6"/>
  <c r="I26" i="6"/>
  <c r="I9" i="6"/>
  <c r="F51" i="1"/>
  <c r="F36" i="1"/>
  <c r="E98" i="16" l="1"/>
  <c r="E78" i="16"/>
  <c r="E97" i="16"/>
  <c r="E95" i="16"/>
  <c r="E32" i="16"/>
  <c r="E10" i="16"/>
  <c r="C14" i="16"/>
  <c r="E9" i="16"/>
  <c r="E44" i="16"/>
  <c r="E60" i="16"/>
  <c r="E45" i="16"/>
  <c r="E96" i="16"/>
  <c r="E46" i="16"/>
  <c r="E74" i="16"/>
  <c r="D42" i="16"/>
  <c r="E11" i="16"/>
  <c r="D56" i="16"/>
  <c r="E76" i="16"/>
  <c r="C6" i="16"/>
  <c r="D71" i="16"/>
  <c r="E31" i="16"/>
  <c r="E38" i="16"/>
  <c r="D92" i="16"/>
  <c r="E75" i="16"/>
  <c r="E36" i="16"/>
  <c r="E34" i="16"/>
  <c r="E37" i="16"/>
  <c r="E79" i="16"/>
  <c r="E100" i="16"/>
  <c r="E62" i="16"/>
  <c r="E77" i="16"/>
  <c r="D13" i="16"/>
  <c r="E35" i="16"/>
  <c r="E61" i="16"/>
  <c r="E33" i="16"/>
  <c r="E39" i="16"/>
  <c r="E59" i="16"/>
  <c r="E7" i="16"/>
  <c r="E8" i="16"/>
  <c r="E99" i="16"/>
  <c r="C4" i="16"/>
  <c r="C30" i="6" l="1"/>
  <c r="C31" i="6" l="1"/>
  <c r="C29" i="6"/>
  <c r="C33" i="6"/>
  <c r="C34" i="6"/>
  <c r="N35" i="5" l="1"/>
  <c r="L35" i="5"/>
  <c r="M35" i="5"/>
  <c r="O35" i="5" l="1"/>
  <c r="B52" i="58" l="1"/>
  <c r="E55" i="39"/>
  <c r="H55" i="39"/>
  <c r="E28" i="34"/>
  <c r="H7" i="1"/>
  <c r="I98" i="5" l="1"/>
  <c r="I95" i="5"/>
  <c r="I99" i="5"/>
  <c r="I96" i="5"/>
  <c r="I101" i="5"/>
  <c r="I102" i="5"/>
  <c r="I100" i="5"/>
  <c r="I97" i="5"/>
  <c r="E189" i="60" l="1"/>
  <c r="G189" i="60" s="1"/>
  <c r="E188" i="60"/>
  <c r="G188" i="60" s="1"/>
  <c r="E190" i="60"/>
  <c r="G190" i="60" s="1"/>
  <c r="E191" i="60"/>
  <c r="G191" i="60" s="1"/>
  <c r="E186" i="60"/>
  <c r="G186" i="60" s="1"/>
  <c r="E185" i="60"/>
  <c r="G185" i="60" s="1"/>
  <c r="E184" i="60"/>
  <c r="G184" i="60" s="1"/>
  <c r="E187" i="60"/>
  <c r="G187" i="60" s="1"/>
  <c r="E182" i="60"/>
  <c r="G182" i="60" s="1"/>
  <c r="E181" i="60"/>
  <c r="G181" i="60" s="1"/>
  <c r="E180" i="60"/>
  <c r="G180" i="60" s="1"/>
  <c r="E183" i="60"/>
  <c r="G183" i="60" s="1"/>
  <c r="E201" i="60"/>
  <c r="G201" i="60" s="1"/>
  <c r="E200" i="60"/>
  <c r="G200" i="60" s="1"/>
  <c r="E199" i="60"/>
  <c r="G199" i="60" s="1"/>
  <c r="E202" i="60"/>
  <c r="G202" i="60" s="1"/>
  <c r="E203" i="60"/>
  <c r="G203" i="60" s="1"/>
  <c r="E197" i="60"/>
  <c r="G197" i="60" s="1"/>
  <c r="E196" i="60"/>
  <c r="G196" i="60" s="1"/>
  <c r="E198" i="60"/>
  <c r="G198" i="60" s="1"/>
  <c r="E194" i="60"/>
  <c r="G194" i="60" s="1"/>
  <c r="E195" i="60"/>
  <c r="G195" i="60" s="1"/>
  <c r="E193" i="60"/>
  <c r="G193" i="60" s="1"/>
  <c r="E192" i="60"/>
  <c r="G192" i="60" s="1"/>
  <c r="E521" i="49"/>
  <c r="G521" i="49" s="1"/>
  <c r="E522" i="49"/>
  <c r="G522" i="49" s="1"/>
  <c r="AA237" i="5"/>
  <c r="E523" i="49"/>
  <c r="G523" i="49" s="1"/>
  <c r="E226" i="49"/>
  <c r="G226" i="49" s="1"/>
  <c r="E524" i="49"/>
  <c r="G524" i="49" s="1"/>
  <c r="AA238" i="5"/>
  <c r="E525" i="49"/>
  <c r="G525" i="49" s="1"/>
  <c r="AA95" i="5"/>
  <c r="E206" i="49"/>
  <c r="G206" i="49" s="1"/>
  <c r="E207" i="49"/>
  <c r="G207" i="49" s="1"/>
  <c r="E208" i="49"/>
  <c r="G208" i="49" s="1"/>
  <c r="AA98" i="5"/>
  <c r="E216" i="49"/>
  <c r="G216" i="49" s="1"/>
  <c r="E215" i="49"/>
  <c r="G215" i="49" s="1"/>
  <c r="E225" i="49"/>
  <c r="G225" i="49" s="1"/>
  <c r="E224" i="49"/>
  <c r="G224" i="49" s="1"/>
  <c r="AA102" i="5"/>
  <c r="AA231" i="5"/>
  <c r="E508" i="49"/>
  <c r="G508" i="49" s="1"/>
  <c r="E507" i="49"/>
  <c r="G507" i="49" s="1"/>
  <c r="AA100" i="5"/>
  <c r="E219" i="49"/>
  <c r="G219" i="49" s="1"/>
  <c r="E220" i="49"/>
  <c r="G220" i="49" s="1"/>
  <c r="E221" i="49"/>
  <c r="G221" i="49" s="1"/>
  <c r="AA97" i="5"/>
  <c r="E213" i="49"/>
  <c r="G213" i="49" s="1"/>
  <c r="E214" i="49"/>
  <c r="G214" i="49" s="1"/>
  <c r="E212" i="49"/>
  <c r="G212" i="49" s="1"/>
  <c r="E514" i="49"/>
  <c r="G514" i="49" s="1"/>
  <c r="E515" i="49"/>
  <c r="G515" i="49" s="1"/>
  <c r="AA234" i="5"/>
  <c r="E513" i="49"/>
  <c r="G513" i="49" s="1"/>
  <c r="E516" i="49"/>
  <c r="G516" i="49" s="1"/>
  <c r="M15" i="5"/>
  <c r="E510" i="49"/>
  <c r="G510" i="49" s="1"/>
  <c r="AA232" i="5"/>
  <c r="E509" i="49"/>
  <c r="G509" i="49" s="1"/>
  <c r="E511" i="49"/>
  <c r="G511" i="49" s="1"/>
  <c r="E512" i="49"/>
  <c r="G512" i="49" s="1"/>
  <c r="AA233" i="5"/>
  <c r="E205" i="49"/>
  <c r="G205" i="49" s="1"/>
  <c r="N15" i="5"/>
  <c r="AA101" i="5"/>
  <c r="E222" i="49"/>
  <c r="G222" i="49" s="1"/>
  <c r="E223" i="49"/>
  <c r="G223" i="49" s="1"/>
  <c r="AA99" i="5"/>
  <c r="E218" i="49"/>
  <c r="G218" i="49" s="1"/>
  <c r="E217" i="49"/>
  <c r="G217" i="49" s="1"/>
  <c r="E518" i="49"/>
  <c r="G518" i="49" s="1"/>
  <c r="E517" i="49"/>
  <c r="G517" i="49" s="1"/>
  <c r="AA235" i="5"/>
  <c r="E520" i="49"/>
  <c r="G520" i="49" s="1"/>
  <c r="E519" i="49"/>
  <c r="G519" i="49" s="1"/>
  <c r="AA236" i="5"/>
  <c r="E211" i="49"/>
  <c r="G211" i="49" s="1"/>
  <c r="E209" i="49"/>
  <c r="G209" i="49" s="1"/>
  <c r="E210" i="49"/>
  <c r="G210" i="49" s="1"/>
  <c r="AA96" i="5"/>
  <c r="L15" i="5"/>
  <c r="O15" i="5" l="1"/>
  <c r="B32" i="58" l="1"/>
  <c r="H7" i="8"/>
  <c r="E16" i="34"/>
  <c r="E35" i="39"/>
  <c r="H35" i="39"/>
  <c r="Y232" i="5"/>
  <c r="AB232" i="5" s="1"/>
  <c r="Y233" i="5"/>
  <c r="AB233" i="5" s="1"/>
  <c r="Y235" i="5"/>
  <c r="AB235" i="5" s="1"/>
  <c r="Y237" i="5"/>
  <c r="AB237" i="5" s="1"/>
  <c r="Y231" i="5"/>
  <c r="AB231" i="5" s="1"/>
  <c r="Y234" i="5"/>
  <c r="AB234" i="5" s="1"/>
  <c r="Y236" i="5"/>
  <c r="AB236" i="5" s="1"/>
  <c r="Y238" i="5"/>
  <c r="AB238" i="5" s="1"/>
  <c r="Y102" i="5"/>
  <c r="AB102" i="5" s="1"/>
  <c r="Y96" i="5"/>
  <c r="AB96" i="5" s="1"/>
  <c r="Y95" i="5"/>
  <c r="AB95" i="5" s="1"/>
  <c r="Y97" i="5"/>
  <c r="AB97" i="5" s="1"/>
  <c r="Y101" i="5"/>
  <c r="AB101" i="5" s="1"/>
  <c r="Y98" i="5"/>
  <c r="AB98" i="5" s="1"/>
  <c r="Y99" i="5"/>
  <c r="AB99" i="5" s="1"/>
  <c r="Y100" i="5"/>
  <c r="AB100" i="5" s="1"/>
  <c r="N40" i="49" l="1"/>
  <c r="N85" i="49"/>
  <c r="N84" i="49"/>
  <c r="N71" i="49"/>
  <c r="N101" i="49"/>
  <c r="N64" i="49"/>
  <c r="N81" i="49"/>
  <c r="N20" i="49"/>
  <c r="N72" i="49"/>
  <c r="N44" i="49"/>
  <c r="N18" i="49"/>
  <c r="N74" i="49"/>
  <c r="N78" i="49"/>
  <c r="N80" i="49"/>
  <c r="N58" i="49"/>
  <c r="N117" i="49"/>
  <c r="N27" i="49"/>
  <c r="N66" i="49"/>
  <c r="N42" i="49"/>
  <c r="N63" i="49"/>
  <c r="N76" i="49"/>
  <c r="N110" i="49"/>
  <c r="Q64" i="49" l="1"/>
  <c r="N62" i="49"/>
  <c r="N98" i="49"/>
  <c r="N43" i="49"/>
  <c r="H224" i="5"/>
  <c r="H312" i="39"/>
  <c r="L326" i="39"/>
  <c r="H104" i="5"/>
  <c r="H350" i="39"/>
  <c r="J291" i="39"/>
  <c r="I241" i="39"/>
  <c r="L370" i="39"/>
  <c r="K461" i="39"/>
  <c r="I222" i="39"/>
  <c r="J346" i="39"/>
  <c r="H362" i="5"/>
  <c r="H270" i="39"/>
  <c r="H157" i="39"/>
  <c r="I320" i="39"/>
  <c r="H133" i="5"/>
  <c r="H195" i="5"/>
  <c r="H376" i="39"/>
  <c r="H37" i="5"/>
  <c r="J305" i="39"/>
  <c r="H167" i="5"/>
  <c r="K106" i="39"/>
  <c r="H413" i="39"/>
  <c r="L434" i="39"/>
  <c r="H25" i="5"/>
  <c r="L409" i="39"/>
  <c r="I306" i="39"/>
  <c r="H342" i="39"/>
  <c r="L176" i="39"/>
  <c r="J165" i="39"/>
  <c r="H276" i="39"/>
  <c r="H144" i="5"/>
  <c r="L253" i="39"/>
  <c r="J202" i="39"/>
  <c r="H284" i="5"/>
  <c r="H401" i="39"/>
  <c r="H143" i="39"/>
  <c r="I145" i="39"/>
  <c r="H180" i="5"/>
  <c r="H260" i="5"/>
  <c r="H97" i="39"/>
  <c r="H6" i="5"/>
  <c r="L82" i="39"/>
  <c r="H379" i="5"/>
  <c r="L178" i="39"/>
  <c r="K253" i="39"/>
  <c r="L270" i="39"/>
  <c r="H424" i="39"/>
  <c r="H275" i="39"/>
  <c r="L381" i="39"/>
  <c r="L378" i="39"/>
  <c r="K248" i="39"/>
  <c r="H254" i="5"/>
  <c r="J210" i="39"/>
  <c r="J398" i="39"/>
  <c r="H196" i="39"/>
  <c r="H172" i="5"/>
  <c r="H444" i="39"/>
  <c r="J205" i="39"/>
  <c r="L379" i="39"/>
  <c r="H325" i="39"/>
  <c r="K147" i="39"/>
  <c r="K186" i="39"/>
  <c r="H356" i="39"/>
  <c r="H163" i="39"/>
  <c r="H274" i="39"/>
  <c r="L158" i="39"/>
  <c r="H240" i="39"/>
  <c r="H57" i="5"/>
  <c r="H200" i="5"/>
  <c r="H159" i="39"/>
  <c r="H417" i="39"/>
  <c r="I93" i="39"/>
  <c r="K458" i="39"/>
  <c r="H234" i="39"/>
  <c r="L202" i="39"/>
  <c r="I344" i="39"/>
  <c r="K89" i="39"/>
  <c r="H324" i="39"/>
  <c r="H202" i="5"/>
  <c r="K143" i="39"/>
  <c r="H391" i="39"/>
  <c r="K316" i="39"/>
  <c r="I397" i="39"/>
  <c r="H162" i="5"/>
  <c r="I181" i="39"/>
  <c r="I378" i="39"/>
  <c r="J184" i="39"/>
  <c r="J345" i="39"/>
  <c r="H414" i="39"/>
  <c r="L388" i="39"/>
  <c r="H269" i="39"/>
  <c r="H127" i="39"/>
  <c r="H122" i="5"/>
  <c r="H327" i="5"/>
  <c r="H419" i="39"/>
  <c r="H363" i="5"/>
  <c r="L203" i="39"/>
  <c r="K437" i="39"/>
  <c r="H81" i="39"/>
  <c r="H291" i="39"/>
  <c r="K83" i="39"/>
  <c r="H318" i="5"/>
  <c r="H255" i="39"/>
  <c r="K304" i="39"/>
  <c r="H163" i="5"/>
  <c r="I299" i="39"/>
  <c r="K314" i="39"/>
  <c r="H328" i="5"/>
  <c r="H108" i="5"/>
  <c r="L182" i="39"/>
  <c r="H30" i="5"/>
  <c r="J319" i="39"/>
  <c r="H115" i="5"/>
  <c r="I423" i="39"/>
  <c r="J133" i="39"/>
  <c r="J138" i="39"/>
  <c r="K347" i="39"/>
  <c r="H262" i="5"/>
  <c r="K450" i="39"/>
  <c r="I453" i="39"/>
  <c r="L131" i="39"/>
  <c r="H309" i="5"/>
  <c r="H278" i="39"/>
  <c r="K268" i="39"/>
  <c r="H77" i="5"/>
  <c r="J160" i="39"/>
  <c r="L371" i="39"/>
  <c r="H187" i="39"/>
  <c r="L458" i="39"/>
  <c r="H231" i="39"/>
  <c r="J292" i="39"/>
  <c r="H341" i="39"/>
  <c r="H449" i="39"/>
  <c r="H216" i="39"/>
  <c r="K370" i="39"/>
  <c r="H160" i="5"/>
  <c r="H384" i="5"/>
  <c r="H426" i="39"/>
  <c r="L368" i="39"/>
  <c r="J151" i="39"/>
  <c r="K254" i="39"/>
  <c r="H106" i="5"/>
  <c r="K282" i="39"/>
  <c r="H296" i="39"/>
  <c r="H9" i="5"/>
  <c r="L93" i="39"/>
  <c r="K111" i="39"/>
  <c r="H437" i="39"/>
  <c r="H244" i="5"/>
  <c r="H317" i="5"/>
  <c r="H382" i="5"/>
  <c r="L232" i="39"/>
  <c r="H359" i="39"/>
  <c r="H178" i="5"/>
  <c r="H264" i="5"/>
  <c r="H71" i="5"/>
  <c r="H320" i="5"/>
  <c r="I449" i="39"/>
  <c r="H249" i="5"/>
  <c r="H87" i="5"/>
  <c r="H316" i="39"/>
  <c r="H218" i="39"/>
  <c r="J393" i="39"/>
  <c r="J299" i="39"/>
  <c r="H114" i="39"/>
  <c r="H180" i="39"/>
  <c r="K367" i="39"/>
  <c r="L437" i="39"/>
  <c r="K273" i="39"/>
  <c r="H91" i="5"/>
  <c r="K144" i="39"/>
  <c r="H322" i="5"/>
  <c r="K378" i="39"/>
  <c r="H223" i="5"/>
  <c r="J385" i="39"/>
  <c r="H88" i="5"/>
  <c r="K128" i="39"/>
  <c r="L411" i="39"/>
  <c r="K456" i="39"/>
  <c r="K392" i="39"/>
  <c r="H122" i="39"/>
  <c r="K426" i="39"/>
  <c r="H192" i="39"/>
  <c r="J104" i="39"/>
  <c r="K459" i="39"/>
  <c r="H302" i="39"/>
  <c r="H354" i="39"/>
  <c r="L187" i="39"/>
  <c r="H184" i="39"/>
  <c r="K417" i="39"/>
  <c r="L234" i="39"/>
  <c r="K295" i="39"/>
  <c r="H273" i="5"/>
  <c r="K411" i="39"/>
  <c r="J297" i="39"/>
  <c r="I113" i="39"/>
  <c r="H192" i="5"/>
  <c r="H189" i="5"/>
  <c r="H272" i="39"/>
  <c r="I351" i="39"/>
  <c r="H366" i="39"/>
  <c r="I350" i="39"/>
  <c r="I179" i="39"/>
  <c r="H258" i="39"/>
  <c r="H20" i="5"/>
  <c r="H126" i="5"/>
  <c r="H304" i="5"/>
  <c r="H260" i="39"/>
  <c r="I175" i="39"/>
  <c r="J208" i="39"/>
  <c r="H201" i="39"/>
  <c r="L84" i="39"/>
  <c r="L280" i="39"/>
  <c r="K375" i="39"/>
  <c r="I228" i="39"/>
  <c r="H425" i="39"/>
  <c r="K457" i="39"/>
  <c r="H409" i="39"/>
  <c r="H89" i="39"/>
  <c r="H36" i="5"/>
  <c r="H70" i="5"/>
  <c r="J448" i="39"/>
  <c r="I110" i="39"/>
  <c r="K428" i="39"/>
  <c r="H195" i="39"/>
  <c r="H211" i="5"/>
  <c r="J255" i="39"/>
  <c r="L264" i="39"/>
  <c r="J447" i="39"/>
  <c r="H368" i="39"/>
  <c r="H214" i="39"/>
  <c r="H250" i="39"/>
  <c r="H66" i="5"/>
  <c r="H199" i="39"/>
  <c r="I177" i="39"/>
  <c r="H220" i="5"/>
  <c r="L212" i="39"/>
  <c r="L126" i="39"/>
  <c r="I208" i="39"/>
  <c r="L414" i="39"/>
  <c r="H232" i="39"/>
  <c r="J380" i="39"/>
  <c r="I369" i="39"/>
  <c r="K155" i="39"/>
  <c r="L222" i="39"/>
  <c r="L209" i="39"/>
  <c r="J128" i="39"/>
  <c r="K323" i="39"/>
  <c r="L395" i="39"/>
  <c r="H200" i="39"/>
  <c r="L208" i="39"/>
  <c r="J141" i="39"/>
  <c r="I441" i="39"/>
  <c r="H222" i="39"/>
  <c r="H109" i="39"/>
  <c r="H452" i="39"/>
  <c r="J126" i="39"/>
  <c r="H341" i="5"/>
  <c r="J194" i="39"/>
  <c r="H364" i="39"/>
  <c r="I435" i="39"/>
  <c r="H209" i="39"/>
  <c r="H204" i="5"/>
  <c r="H301" i="39"/>
  <c r="H183" i="39"/>
  <c r="H288" i="39"/>
  <c r="I131" i="39"/>
  <c r="H265" i="39"/>
  <c r="I315" i="39"/>
  <c r="H277" i="5"/>
  <c r="K87" i="39"/>
  <c r="I188" i="39"/>
  <c r="J321" i="39"/>
  <c r="H361" i="39"/>
  <c r="I431" i="39"/>
  <c r="I158" i="39"/>
  <c r="J227" i="39"/>
  <c r="I303" i="39"/>
  <c r="J268" i="39"/>
  <c r="H380" i="39"/>
  <c r="H152" i="39"/>
  <c r="L428" i="39"/>
  <c r="K203" i="39"/>
  <c r="H230" i="39"/>
  <c r="H355" i="5"/>
  <c r="J399" i="39"/>
  <c r="J178" i="39"/>
  <c r="I457" i="39"/>
  <c r="K423" i="39"/>
  <c r="K280" i="39"/>
  <c r="H317" i="39"/>
  <c r="L435" i="39"/>
  <c r="H243" i="5"/>
  <c r="I286" i="39"/>
  <c r="H375" i="5"/>
  <c r="J294" i="39"/>
  <c r="K420" i="39"/>
  <c r="H344" i="39"/>
  <c r="I355" i="39"/>
  <c r="K332" i="39"/>
  <c r="H408" i="39"/>
  <c r="J460" i="39"/>
  <c r="H389" i="39"/>
  <c r="H274" i="5"/>
  <c r="J93" i="39"/>
  <c r="J265" i="39"/>
  <c r="H199" i="5"/>
  <c r="J217" i="39"/>
  <c r="H377" i="39"/>
  <c r="K390" i="39"/>
  <c r="J282" i="39"/>
  <c r="H285" i="39"/>
  <c r="H101" i="39"/>
  <c r="H342" i="5"/>
  <c r="L369" i="39"/>
  <c r="J455" i="39"/>
  <c r="H156" i="39"/>
  <c r="I416" i="39"/>
  <c r="H150" i="39"/>
  <c r="H170" i="5"/>
  <c r="K198" i="39"/>
  <c r="L163" i="39"/>
  <c r="J363" i="39"/>
  <c r="H368" i="5"/>
  <c r="J394" i="39"/>
  <c r="H188" i="39"/>
  <c r="K161" i="39"/>
  <c r="L455" i="39"/>
  <c r="K85" i="39"/>
  <c r="L162" i="39"/>
  <c r="I308" i="39"/>
  <c r="K159" i="39"/>
  <c r="H137" i="39"/>
  <c r="J289" i="39"/>
  <c r="K264" i="39"/>
  <c r="H392" i="39"/>
  <c r="H86" i="39"/>
  <c r="H130" i="39"/>
  <c r="J372" i="39"/>
  <c r="H125" i="5"/>
  <c r="L313" i="39"/>
  <c r="H142" i="39"/>
  <c r="H399" i="39"/>
  <c r="H208" i="5"/>
  <c r="J206" i="39"/>
  <c r="J437" i="39"/>
  <c r="H326" i="39"/>
  <c r="L267" i="39"/>
  <c r="I287" i="39"/>
  <c r="H245" i="39"/>
  <c r="H95" i="39"/>
  <c r="I434" i="39"/>
  <c r="H21" i="5"/>
  <c r="H145" i="5"/>
  <c r="H209" i="5"/>
  <c r="I459" i="39"/>
  <c r="I92" i="39"/>
  <c r="K259" i="39"/>
  <c r="K276" i="39"/>
  <c r="K80" i="39"/>
  <c r="J379" i="39"/>
  <c r="J425" i="39"/>
  <c r="H173" i="39"/>
  <c r="L184" i="39"/>
  <c r="H40" i="5"/>
  <c r="H431" i="39"/>
  <c r="J354" i="39"/>
  <c r="K129" i="39"/>
  <c r="H185" i="39"/>
  <c r="L321" i="39"/>
  <c r="K232" i="39"/>
  <c r="J378" i="39"/>
  <c r="H171" i="5"/>
  <c r="H138" i="5"/>
  <c r="H93" i="5"/>
  <c r="L220" i="39"/>
  <c r="K329" i="39"/>
  <c r="H86" i="5"/>
  <c r="L229" i="39"/>
  <c r="L189" i="39"/>
  <c r="H376" i="5"/>
  <c r="J383" i="39"/>
  <c r="L415" i="39"/>
  <c r="I85" i="39"/>
  <c r="H303" i="5"/>
  <c r="H197" i="5"/>
  <c r="I167" i="39"/>
  <c r="K139" i="39"/>
  <c r="H339" i="5"/>
  <c r="H198" i="5"/>
  <c r="H107" i="5"/>
  <c r="K405" i="39"/>
  <c r="H92" i="39"/>
  <c r="H173" i="5"/>
  <c r="J422" i="39"/>
  <c r="I358" i="39"/>
  <c r="H29" i="5"/>
  <c r="L137" i="39"/>
  <c r="H365" i="5"/>
  <c r="H257" i="39"/>
  <c r="H174" i="5"/>
  <c r="H146" i="39"/>
  <c r="I402" i="39"/>
  <c r="J168" i="39"/>
  <c r="L382" i="39"/>
  <c r="K267" i="39"/>
  <c r="I451" i="39"/>
  <c r="K118" i="39"/>
  <c r="H415" i="39"/>
  <c r="H402" i="39"/>
  <c r="H26" i="5"/>
  <c r="L448" i="39"/>
  <c r="L289" i="39"/>
  <c r="H94" i="5"/>
  <c r="L384" i="39"/>
  <c r="J357" i="39"/>
  <c r="K440" i="39"/>
  <c r="J429" i="39"/>
  <c r="H197" i="39"/>
  <c r="H164" i="39"/>
  <c r="I96" i="39"/>
  <c r="L306" i="39"/>
  <c r="J329" i="39"/>
  <c r="L419" i="39"/>
  <c r="H225" i="5"/>
  <c r="L216" i="39"/>
  <c r="H298" i="5"/>
  <c r="H291" i="5"/>
  <c r="H386" i="39"/>
  <c r="H102" i="39"/>
  <c r="J288" i="39"/>
  <c r="H73" i="5"/>
  <c r="J142" i="39"/>
  <c r="L181" i="39"/>
  <c r="H357" i="5"/>
  <c r="H329" i="39"/>
  <c r="K181" i="39"/>
  <c r="J327" i="39"/>
  <c r="H167" i="39"/>
  <c r="I343" i="39"/>
  <c r="H60" i="5"/>
  <c r="H446" i="39"/>
  <c r="I354" i="39"/>
  <c r="K451" i="39"/>
  <c r="H203" i="39"/>
  <c r="H48" i="5"/>
  <c r="L457" i="39"/>
  <c r="I428" i="39"/>
  <c r="K237" i="39"/>
  <c r="K448" i="39"/>
  <c r="I295" i="39"/>
  <c r="L349" i="39"/>
  <c r="H296" i="5"/>
  <c r="I455" i="39"/>
  <c r="K353" i="39"/>
  <c r="L398" i="39"/>
  <c r="I292" i="39"/>
  <c r="L134" i="39"/>
  <c r="H398" i="39"/>
  <c r="H14" i="5"/>
  <c r="K441" i="39"/>
  <c r="H72" i="5"/>
  <c r="H306" i="5"/>
  <c r="H239" i="5"/>
  <c r="K334" i="39"/>
  <c r="H293" i="5"/>
  <c r="J248" i="39"/>
  <c r="K296" i="39"/>
  <c r="J271" i="39"/>
  <c r="I413" i="39"/>
  <c r="I160" i="39"/>
  <c r="J230" i="39"/>
  <c r="H331" i="5"/>
  <c r="K395" i="39"/>
  <c r="K385" i="39"/>
  <c r="K101" i="39"/>
  <c r="K153" i="39"/>
  <c r="K340" i="39"/>
  <c r="L386" i="39"/>
  <c r="K104" i="39"/>
  <c r="K218" i="39"/>
  <c r="J390" i="39"/>
  <c r="I373" i="39"/>
  <c r="L454" i="39"/>
  <c r="K255" i="39"/>
  <c r="J446" i="39"/>
  <c r="K145" i="39"/>
  <c r="L196" i="39"/>
  <c r="I134" i="39"/>
  <c r="J99" i="39"/>
  <c r="H324" i="5"/>
  <c r="H206" i="39"/>
  <c r="H226" i="5"/>
  <c r="H290" i="39"/>
  <c r="K380" i="39"/>
  <c r="H138" i="39"/>
  <c r="K308" i="39"/>
  <c r="I187" i="39"/>
  <c r="I189" i="39"/>
  <c r="K431" i="39"/>
  <c r="H221" i="39"/>
  <c r="J449" i="39"/>
  <c r="H427" i="39"/>
  <c r="H187" i="5"/>
  <c r="J88" i="39"/>
  <c r="H353" i="39"/>
  <c r="K364" i="39"/>
  <c r="K116" i="39"/>
  <c r="I429" i="39"/>
  <c r="H243" i="39"/>
  <c r="H269" i="5"/>
  <c r="H394" i="39"/>
  <c r="L260" i="39"/>
  <c r="J121" i="39"/>
  <c r="H371" i="5"/>
  <c r="H263" i="5"/>
  <c r="J453" i="39"/>
  <c r="H155" i="5"/>
  <c r="H367" i="39"/>
  <c r="K173" i="39"/>
  <c r="H219" i="39"/>
  <c r="K281" i="39"/>
  <c r="L304" i="39"/>
  <c r="H116" i="39"/>
  <c r="K413" i="39"/>
  <c r="H451" i="39"/>
  <c r="H148" i="5"/>
  <c r="K131" i="39"/>
  <c r="L459" i="39"/>
  <c r="J211" i="39"/>
  <c r="H143" i="5"/>
  <c r="J213" i="39"/>
  <c r="L373" i="39"/>
  <c r="I82" i="39"/>
  <c r="H110" i="39"/>
  <c r="J283" i="39"/>
  <c r="L150" i="39"/>
  <c r="L268" i="39"/>
  <c r="L385" i="39"/>
  <c r="H335" i="39"/>
  <c r="H421" i="39"/>
  <c r="H327" i="39"/>
  <c r="H131" i="5"/>
  <c r="I190" i="39"/>
  <c r="I430" i="39"/>
  <c r="J169" i="39"/>
  <c r="H80" i="39"/>
  <c r="L316" i="39"/>
  <c r="H288" i="5"/>
  <c r="J295" i="39"/>
  <c r="L376" i="39"/>
  <c r="K305" i="39"/>
  <c r="L192" i="39"/>
  <c r="L302" i="39"/>
  <c r="K429" i="39"/>
  <c r="H340" i="39"/>
  <c r="L461" i="39"/>
  <c r="L298" i="39"/>
  <c r="I313" i="39"/>
  <c r="L353" i="39"/>
  <c r="I443" i="39"/>
  <c r="H188" i="5"/>
  <c r="H360" i="5"/>
  <c r="H135" i="5"/>
  <c r="L90" i="39"/>
  <c r="I106" i="39"/>
  <c r="H105" i="39"/>
  <c r="H428" i="39"/>
  <c r="H50" i="5"/>
  <c r="H154" i="39"/>
  <c r="H132" i="39"/>
  <c r="J336" i="39"/>
  <c r="J377" i="39"/>
  <c r="K194" i="39"/>
  <c r="K330" i="39"/>
  <c r="I211" i="39"/>
  <c r="L357" i="39"/>
  <c r="L160" i="39"/>
  <c r="H240" i="5"/>
  <c r="K133" i="39"/>
  <c r="H75" i="5"/>
  <c r="H89" i="5"/>
  <c r="I173" i="39"/>
  <c r="H191" i="5"/>
  <c r="H28" i="5"/>
  <c r="H211" i="39"/>
  <c r="H436" i="39"/>
  <c r="H251" i="39"/>
  <c r="I132" i="39"/>
  <c r="H366" i="5"/>
  <c r="J418" i="39"/>
  <c r="I80" i="39"/>
  <c r="H10" i="5"/>
  <c r="J364" i="39"/>
  <c r="J90" i="39"/>
  <c r="I126" i="39"/>
  <c r="H302" i="5"/>
  <c r="K166" i="39"/>
  <c r="I142" i="39"/>
  <c r="L79" i="39"/>
  <c r="H442" i="39"/>
  <c r="L282" i="39"/>
  <c r="K121" i="39"/>
  <c r="J263" i="39"/>
  <c r="K294" i="39"/>
  <c r="I266" i="39"/>
  <c r="J238" i="39"/>
  <c r="J412" i="39"/>
  <c r="J312" i="39"/>
  <c r="K399" i="39"/>
  <c r="I240" i="39"/>
  <c r="L309" i="39"/>
  <c r="H149" i="5"/>
  <c r="J261" i="39"/>
  <c r="K303" i="39"/>
  <c r="I204" i="39"/>
  <c r="K439" i="39"/>
  <c r="H134" i="39"/>
  <c r="H220" i="39"/>
  <c r="H150" i="5"/>
  <c r="I370" i="39"/>
  <c r="K243" i="39"/>
  <c r="H136" i="39"/>
  <c r="J317" i="39"/>
  <c r="K99" i="39"/>
  <c r="H212" i="5"/>
  <c r="H284" i="39"/>
  <c r="I381" i="39"/>
  <c r="H93" i="39"/>
  <c r="J324" i="39"/>
  <c r="H106" i="39"/>
  <c r="K219" i="39"/>
  <c r="K335" i="39"/>
  <c r="H313" i="39"/>
  <c r="L317" i="39"/>
  <c r="L148" i="39"/>
  <c r="I139" i="39"/>
  <c r="H61" i="5"/>
  <c r="I253" i="39"/>
  <c r="H387" i="39"/>
  <c r="I276" i="39"/>
  <c r="H456" i="39"/>
  <c r="K242" i="39"/>
  <c r="H268" i="5"/>
  <c r="L152" i="39"/>
  <c r="I387" i="39"/>
  <c r="L439" i="39"/>
  <c r="L301" i="39"/>
  <c r="L123" i="39"/>
  <c r="H337" i="39"/>
  <c r="H65" i="5"/>
  <c r="K445" i="39"/>
  <c r="L117" i="39"/>
  <c r="H85" i="5"/>
  <c r="K142" i="39"/>
  <c r="J427" i="39"/>
  <c r="L408" i="39"/>
  <c r="H153" i="5"/>
  <c r="I393" i="39"/>
  <c r="H461" i="39"/>
  <c r="H124" i="5"/>
  <c r="K301" i="39"/>
  <c r="J301" i="39"/>
  <c r="H347" i="39"/>
  <c r="L99" i="39"/>
  <c r="H44" i="5"/>
  <c r="J461" i="39"/>
  <c r="J244" i="39"/>
  <c r="J148" i="39"/>
  <c r="H355" i="39"/>
  <c r="I164" i="39"/>
  <c r="I422" i="39"/>
  <c r="H378" i="5"/>
  <c r="I282" i="39"/>
  <c r="J250" i="39"/>
  <c r="H83" i="5"/>
  <c r="H110" i="5"/>
  <c r="L217" i="39"/>
  <c r="J311" i="39"/>
  <c r="H83" i="39"/>
  <c r="H352" i="39"/>
  <c r="H388" i="39"/>
  <c r="K427" i="39"/>
  <c r="H212" i="39"/>
  <c r="H221" i="5"/>
  <c r="K351" i="39"/>
  <c r="J320" i="39"/>
  <c r="H133" i="39"/>
  <c r="K191" i="39"/>
  <c r="J98" i="39"/>
  <c r="H117" i="39"/>
  <c r="H257" i="5"/>
  <c r="I388" i="39"/>
  <c r="I161" i="39"/>
  <c r="J174" i="39"/>
  <c r="L380" i="39"/>
  <c r="I273" i="39"/>
  <c r="H186" i="5"/>
  <c r="H233" i="39"/>
  <c r="H307" i="39"/>
  <c r="H348" i="39"/>
  <c r="J229" i="39"/>
  <c r="H147" i="39"/>
  <c r="H217" i="39"/>
  <c r="H144" i="39"/>
  <c r="J389" i="39"/>
  <c r="H104" i="39"/>
  <c r="H381" i="5"/>
  <c r="J185" i="39"/>
  <c r="H18" i="5"/>
  <c r="H385" i="39"/>
  <c r="L329" i="39"/>
  <c r="K379" i="39"/>
  <c r="H124" i="39"/>
  <c r="J94" i="39"/>
  <c r="I326" i="39"/>
  <c r="L334" i="39"/>
  <c r="H100" i="39"/>
  <c r="I275" i="39"/>
  <c r="J102" i="39"/>
  <c r="J355" i="39"/>
  <c r="I439" i="39"/>
  <c r="L198" i="39"/>
  <c r="I95" i="39"/>
  <c r="K384" i="39"/>
  <c r="K328" i="39"/>
  <c r="I247" i="39"/>
  <c r="H345" i="5"/>
  <c r="H119" i="39"/>
  <c r="I380" i="39"/>
  <c r="H338" i="39"/>
  <c r="H443" i="39"/>
  <c r="H196" i="5"/>
  <c r="J277" i="39"/>
  <c r="H406" i="39"/>
  <c r="H278" i="5"/>
  <c r="K357" i="39"/>
  <c r="H309" i="39"/>
  <c r="J451" i="39"/>
  <c r="K388" i="39"/>
  <c r="K343" i="39"/>
  <c r="J237" i="39"/>
  <c r="I341" i="39"/>
  <c r="H52" i="5"/>
  <c r="J396" i="39"/>
  <c r="J145" i="39"/>
  <c r="H129" i="39"/>
  <c r="H320" i="39"/>
  <c r="J159" i="39"/>
  <c r="J436" i="39"/>
  <c r="H127" i="5"/>
  <c r="H55" i="5"/>
  <c r="L394" i="39"/>
  <c r="H147" i="5"/>
  <c r="J246" i="39"/>
  <c r="H210" i="5"/>
  <c r="I385" i="39"/>
  <c r="I220" i="39"/>
  <c r="J445" i="39"/>
  <c r="H92" i="5"/>
  <c r="L87" i="39"/>
  <c r="I215" i="39"/>
  <c r="H32" i="5"/>
  <c r="L175" i="39"/>
  <c r="I279" i="39"/>
  <c r="L303" i="39"/>
  <c r="H229" i="39"/>
  <c r="H12" i="5"/>
  <c r="H241" i="39"/>
  <c r="H295" i="39"/>
  <c r="H310" i="5"/>
  <c r="H190" i="5"/>
  <c r="L244" i="39"/>
  <c r="H346" i="5"/>
  <c r="H76" i="5"/>
  <c r="H164" i="5"/>
  <c r="H369" i="39"/>
  <c r="H158" i="5"/>
  <c r="H352" i="5"/>
  <c r="H205" i="5"/>
  <c r="L410" i="39"/>
  <c r="K261" i="39"/>
  <c r="L452" i="39"/>
  <c r="L85" i="39"/>
  <c r="I377" i="39"/>
  <c r="J239" i="39"/>
  <c r="H457" i="39"/>
  <c r="H15" i="5"/>
  <c r="H137" i="5"/>
  <c r="K251" i="39"/>
  <c r="H290" i="5"/>
  <c r="L252" i="39"/>
  <c r="I432" i="39"/>
  <c r="L113" i="39"/>
  <c r="H103" i="5"/>
  <c r="K434" i="39"/>
  <c r="L399" i="39"/>
  <c r="J233" i="39"/>
  <c r="K271" i="39"/>
  <c r="H339" i="39"/>
  <c r="J405" i="39"/>
  <c r="K123" i="39"/>
  <c r="H214" i="5"/>
  <c r="I242" i="39"/>
  <c r="H422" i="39"/>
  <c r="K95" i="39"/>
  <c r="K324" i="39"/>
  <c r="K381" i="39"/>
  <c r="H169" i="5"/>
  <c r="H215" i="5"/>
  <c r="J228" i="39"/>
  <c r="H115" i="39"/>
  <c r="J209" i="39"/>
  <c r="L169" i="39"/>
  <c r="H299" i="5"/>
  <c r="I454" i="39"/>
  <c r="H179" i="5"/>
  <c r="H186" i="39"/>
  <c r="L118" i="39"/>
  <c r="I231" i="39"/>
  <c r="J116" i="39"/>
  <c r="I357" i="39"/>
  <c r="K112" i="39"/>
  <c r="J157" i="39"/>
  <c r="L145" i="39"/>
  <c r="L350" i="39"/>
  <c r="J152" i="39"/>
  <c r="H332" i="39"/>
  <c r="I122" i="39"/>
  <c r="H90" i="5"/>
  <c r="H119" i="5"/>
  <c r="H292" i="5"/>
  <c r="H282" i="5"/>
  <c r="H140" i="39"/>
  <c r="I193" i="39"/>
  <c r="K307" i="39"/>
  <c r="H56" i="5"/>
  <c r="H118" i="5"/>
  <c r="I321" i="39"/>
  <c r="L402" i="39"/>
  <c r="I102" i="39"/>
  <c r="I324" i="39"/>
  <c r="J298" i="39"/>
  <c r="K406" i="39"/>
  <c r="K299" i="39"/>
  <c r="H27" i="5"/>
  <c r="H208" i="39"/>
  <c r="H375" i="39"/>
  <c r="I257" i="39"/>
  <c r="K132" i="39"/>
  <c r="H3" i="5"/>
  <c r="L263" i="39"/>
  <c r="I339" i="39"/>
  <c r="L314" i="39"/>
  <c r="H139" i="39"/>
  <c r="K402" i="39"/>
  <c r="L191" i="39"/>
  <c r="H261" i="39"/>
  <c r="H135" i="39"/>
  <c r="K382" i="39"/>
  <c r="H165" i="39"/>
  <c r="H348" i="5"/>
  <c r="L351" i="39"/>
  <c r="K366" i="39"/>
  <c r="L81" i="39"/>
  <c r="H175" i="39"/>
  <c r="I272" i="39"/>
  <c r="H266" i="5"/>
  <c r="I168" i="39"/>
  <c r="I268" i="39"/>
  <c r="H112" i="5"/>
  <c r="L417" i="39"/>
  <c r="K92" i="39"/>
  <c r="H246" i="5"/>
  <c r="I318" i="39"/>
  <c r="K278" i="39"/>
  <c r="L453" i="39"/>
  <c r="H161" i="39"/>
  <c r="L254" i="39"/>
  <c r="K190" i="39"/>
  <c r="L281" i="39"/>
  <c r="K91" i="39"/>
  <c r="I389" i="39"/>
  <c r="K446" i="39"/>
  <c r="H380" i="5"/>
  <c r="L363" i="39"/>
  <c r="K418" i="39"/>
  <c r="H129" i="5"/>
  <c r="J111" i="39"/>
  <c r="J236" i="39"/>
  <c r="K326" i="39"/>
  <c r="H121" i="39"/>
  <c r="I375" i="39"/>
  <c r="L256" i="39"/>
  <c r="H120" i="5"/>
  <c r="I325" i="39"/>
  <c r="K387" i="39"/>
  <c r="I331" i="39"/>
  <c r="J371" i="39"/>
  <c r="I144" i="39"/>
  <c r="L174" i="39"/>
  <c r="L255" i="39"/>
  <c r="I365" i="39"/>
  <c r="L111" i="39"/>
  <c r="J131" i="39"/>
  <c r="H340" i="5"/>
  <c r="J353" i="39"/>
  <c r="K386" i="39"/>
  <c r="J401" i="39"/>
  <c r="L436" i="39"/>
  <c r="L361" i="39"/>
  <c r="H411" i="39"/>
  <c r="I104" i="39"/>
  <c r="K369" i="39"/>
  <c r="J196" i="39"/>
  <c r="K320" i="39"/>
  <c r="H354" i="5"/>
  <c r="J89" i="39"/>
  <c r="K156" i="39"/>
  <c r="L215" i="39"/>
  <c r="L112" i="39"/>
  <c r="J92" i="39"/>
  <c r="L177" i="39"/>
  <c r="J146" i="39"/>
  <c r="J279" i="39"/>
  <c r="I254" i="39"/>
  <c r="H237" i="39"/>
  <c r="H23" i="5"/>
  <c r="I243" i="39"/>
  <c r="I334" i="39"/>
  <c r="J100" i="39"/>
  <c r="H224" i="39"/>
  <c r="H210" i="39"/>
  <c r="H365" i="39"/>
  <c r="H429" i="39"/>
  <c r="H79" i="39"/>
  <c r="H253" i="5"/>
  <c r="H222" i="5"/>
  <c r="H153" i="39"/>
  <c r="H280" i="39"/>
  <c r="H239" i="39"/>
  <c r="H82" i="5"/>
  <c r="H142" i="5"/>
  <c r="H333" i="5"/>
  <c r="J115" i="39"/>
  <c r="H344" i="5"/>
  <c r="K152" i="39"/>
  <c r="H80" i="5"/>
  <c r="H439" i="39"/>
  <c r="H82" i="39"/>
  <c r="I278" i="39"/>
  <c r="K277" i="39"/>
  <c r="K344" i="39"/>
  <c r="K260" i="39"/>
  <c r="L98" i="39"/>
  <c r="H435" i="39"/>
  <c r="H225" i="39"/>
  <c r="L205" i="39"/>
  <c r="H273" i="39"/>
  <c r="H306" i="39"/>
  <c r="J348" i="39"/>
  <c r="H31" i="5"/>
  <c r="J343" i="39"/>
  <c r="L446" i="39"/>
  <c r="H54" i="5"/>
  <c r="J274" i="39"/>
  <c r="J110" i="39"/>
  <c r="I84" i="39"/>
  <c r="L456" i="39"/>
  <c r="H297" i="5"/>
  <c r="H321" i="5"/>
  <c r="I461" i="39"/>
  <c r="I191" i="39"/>
  <c r="I360" i="39"/>
  <c r="I114" i="39"/>
  <c r="J264" i="39"/>
  <c r="I269" i="39"/>
  <c r="K209" i="39"/>
  <c r="K164" i="39"/>
  <c r="H438" i="39"/>
  <c r="H405" i="39"/>
  <c r="K115" i="39"/>
  <c r="J304" i="39"/>
  <c r="L233" i="39"/>
  <c r="K401" i="39"/>
  <c r="H310" i="39"/>
  <c r="I125" i="39"/>
  <c r="I438" i="39"/>
  <c r="I159" i="39"/>
  <c r="J162" i="39"/>
  <c r="K223" i="39"/>
  <c r="H123" i="39"/>
  <c r="L429" i="39"/>
  <c r="I250" i="39"/>
  <c r="H259" i="5"/>
  <c r="I246" i="39"/>
  <c r="L460" i="39"/>
  <c r="K138" i="39"/>
  <c r="J198" i="39"/>
  <c r="H347" i="5"/>
  <c r="H311" i="5"/>
  <c r="I207" i="39"/>
  <c r="I89" i="39"/>
  <c r="H353" i="5"/>
  <c r="J358" i="39"/>
  <c r="J143" i="39"/>
  <c r="H5" i="5"/>
  <c r="K127" i="39"/>
  <c r="J334" i="39"/>
  <c r="K290" i="39"/>
  <c r="K372" i="39"/>
  <c r="H223" i="39"/>
  <c r="I251" i="39"/>
  <c r="H68" i="5"/>
  <c r="J224" i="39"/>
  <c r="H245" i="5"/>
  <c r="I340" i="39"/>
  <c r="L295" i="39"/>
  <c r="H313" i="5"/>
  <c r="L107" i="39"/>
  <c r="H116" i="5"/>
  <c r="K287" i="39"/>
  <c r="H279" i="5"/>
  <c r="J388" i="39"/>
  <c r="L283" i="39"/>
  <c r="L451" i="39"/>
  <c r="H315" i="39"/>
  <c r="H308" i="5"/>
  <c r="I336" i="39"/>
  <c r="J443" i="39"/>
  <c r="I421" i="39"/>
  <c r="K309" i="39"/>
  <c r="I135" i="39"/>
  <c r="L365" i="39"/>
  <c r="I290" i="39"/>
  <c r="J190" i="39"/>
  <c r="I401" i="39"/>
  <c r="L397" i="39"/>
  <c r="K103" i="39"/>
  <c r="I437" i="39"/>
  <c r="H213" i="5"/>
  <c r="I424" i="39"/>
  <c r="H67" i="5"/>
  <c r="J459" i="39"/>
  <c r="K416" i="39"/>
  <c r="J171" i="39"/>
  <c r="J199" i="39"/>
  <c r="I138" i="39"/>
  <c r="J122" i="39"/>
  <c r="H357" i="39"/>
  <c r="I271" i="39"/>
  <c r="I148" i="39"/>
  <c r="J234" i="39"/>
  <c r="K415" i="39"/>
  <c r="L122" i="39"/>
  <c r="H219" i="5"/>
  <c r="H360" i="39"/>
  <c r="H250" i="5"/>
  <c r="H299" i="39"/>
  <c r="H295" i="5"/>
  <c r="H332" i="5"/>
  <c r="I156" i="39"/>
  <c r="H369" i="5"/>
  <c r="J201" i="39"/>
  <c r="H207" i="39"/>
  <c r="H403" i="39"/>
  <c r="J333" i="39"/>
  <c r="H4" i="5"/>
  <c r="K117" i="39"/>
  <c r="I452" i="39"/>
  <c r="L318" i="39"/>
  <c r="K396" i="39"/>
  <c r="J409" i="39"/>
  <c r="K229" i="39"/>
  <c r="L219" i="39"/>
  <c r="K228" i="39"/>
  <c r="I149" i="39"/>
  <c r="L426" i="39"/>
  <c r="H318" i="39"/>
  <c r="L195" i="39"/>
  <c r="H305" i="39"/>
  <c r="J331" i="39"/>
  <c r="H33" i="5"/>
  <c r="K100" i="39"/>
  <c r="L387" i="39"/>
  <c r="J387" i="39"/>
  <c r="H359" i="5"/>
  <c r="J232" i="39"/>
  <c r="H251" i="5"/>
  <c r="I323" i="39"/>
  <c r="K238" i="39"/>
  <c r="I79" i="39"/>
  <c r="K453" i="39"/>
  <c r="K373" i="39"/>
  <c r="I395" i="39"/>
  <c r="K204" i="39"/>
  <c r="L400" i="39"/>
  <c r="H307" i="5"/>
  <c r="H165" i="5"/>
  <c r="H162" i="39"/>
  <c r="J180" i="39"/>
  <c r="J79" i="39"/>
  <c r="K193" i="39"/>
  <c r="H261" i="5"/>
  <c r="L116" i="39"/>
  <c r="J120" i="39"/>
  <c r="L296" i="39"/>
  <c r="H141" i="39"/>
  <c r="K300" i="39"/>
  <c r="K120" i="39"/>
  <c r="J197" i="39"/>
  <c r="I137" i="39"/>
  <c r="J158" i="39"/>
  <c r="I88" i="39"/>
  <c r="H242" i="39"/>
  <c r="J402" i="39"/>
  <c r="L450" i="39"/>
  <c r="L179" i="39"/>
  <c r="J435" i="39"/>
  <c r="H49" i="5"/>
  <c r="K122" i="39"/>
  <c r="H244" i="39"/>
  <c r="H118" i="39"/>
  <c r="H322" i="39"/>
  <c r="L362" i="39"/>
  <c r="K79" i="39"/>
  <c r="H168" i="39"/>
  <c r="I391" i="39"/>
  <c r="H254" i="39"/>
  <c r="J421" i="39"/>
  <c r="J259" i="39"/>
  <c r="L248" i="39"/>
  <c r="I409" i="39"/>
  <c r="K341" i="39"/>
  <c r="L225" i="39"/>
  <c r="K90" i="39"/>
  <c r="L140" i="39"/>
  <c r="K107" i="39"/>
  <c r="K105" i="39"/>
  <c r="K168" i="39"/>
  <c r="L307" i="39"/>
  <c r="J368" i="39"/>
  <c r="L432" i="39"/>
  <c r="H202" i="39"/>
  <c r="L166" i="39"/>
  <c r="I90" i="39"/>
  <c r="J140" i="39"/>
  <c r="L151" i="39"/>
  <c r="I283" i="39"/>
  <c r="H74" i="5"/>
  <c r="J417" i="39"/>
  <c r="I316" i="39"/>
  <c r="K374" i="39"/>
  <c r="J290" i="39"/>
  <c r="L210" i="39"/>
  <c r="J424" i="39"/>
  <c r="K424" i="39"/>
  <c r="L443" i="39"/>
  <c r="J338" i="39"/>
  <c r="I367" i="39"/>
  <c r="L204" i="39"/>
  <c r="I258" i="39"/>
  <c r="H69" i="5"/>
  <c r="H275" i="5"/>
  <c r="H139" i="5"/>
  <c r="K407" i="39"/>
  <c r="L106" i="39"/>
  <c r="L339" i="39"/>
  <c r="I456" i="39"/>
  <c r="J181" i="39"/>
  <c r="I217" i="39"/>
  <c r="L141" i="39"/>
  <c r="I162" i="39"/>
  <c r="L239" i="39"/>
  <c r="I141" i="39"/>
  <c r="K313" i="39"/>
  <c r="J226" i="39"/>
  <c r="I150" i="39"/>
  <c r="I356" i="39"/>
  <c r="I406" i="39"/>
  <c r="H217" i="5"/>
  <c r="H16" i="5"/>
  <c r="L354" i="39"/>
  <c r="I261" i="39"/>
  <c r="I407" i="39"/>
  <c r="H448" i="39"/>
  <c r="I398" i="39"/>
  <c r="I390" i="39"/>
  <c r="H294" i="5"/>
  <c r="H179" i="39"/>
  <c r="H230" i="5"/>
  <c r="L223" i="39"/>
  <c r="I230" i="39"/>
  <c r="K397" i="39"/>
  <c r="J349" i="39"/>
  <c r="I445" i="39"/>
  <c r="I386" i="39"/>
  <c r="K227" i="39"/>
  <c r="H283" i="39"/>
  <c r="J413" i="39"/>
  <c r="J441" i="39"/>
  <c r="H418" i="39"/>
  <c r="K212" i="39"/>
  <c r="I447" i="39"/>
  <c r="J426" i="39"/>
  <c r="H166" i="5"/>
  <c r="I440" i="39"/>
  <c r="H286" i="39"/>
  <c r="H123" i="5"/>
  <c r="J341" i="39"/>
  <c r="H128" i="39"/>
  <c r="L110" i="39"/>
  <c r="H204" i="39"/>
  <c r="H91" i="39"/>
  <c r="H114" i="5"/>
  <c r="I195" i="39"/>
  <c r="I223" i="39"/>
  <c r="I289" i="39"/>
  <c r="I333" i="39"/>
  <c r="K215" i="39"/>
  <c r="I277" i="39"/>
  <c r="L121" i="39"/>
  <c r="I310" i="39"/>
  <c r="H87" i="39"/>
  <c r="K235" i="39"/>
  <c r="K346" i="39"/>
  <c r="H227" i="39"/>
  <c r="I353" i="39"/>
  <c r="I265" i="39"/>
  <c r="J247" i="39"/>
  <c r="H216" i="5"/>
  <c r="J223" i="39"/>
  <c r="H35" i="5"/>
  <c r="I103" i="39"/>
  <c r="L412" i="39"/>
  <c r="K263" i="39"/>
  <c r="L237" i="39"/>
  <c r="L347" i="39"/>
  <c r="H248" i="5"/>
  <c r="J365" i="39"/>
  <c r="K226" i="39"/>
  <c r="H94" i="39"/>
  <c r="L226" i="39"/>
  <c r="I130" i="39"/>
  <c r="J272" i="39"/>
  <c r="I226" i="39"/>
  <c r="I379" i="39"/>
  <c r="L190" i="39"/>
  <c r="L211" i="39"/>
  <c r="I169" i="39"/>
  <c r="I349" i="39"/>
  <c r="J328" i="39"/>
  <c r="H256" i="5"/>
  <c r="H109" i="5"/>
  <c r="H151" i="39"/>
  <c r="H363" i="39"/>
  <c r="K189" i="39"/>
  <c r="K148" i="39"/>
  <c r="L345" i="39"/>
  <c r="K205" i="39"/>
  <c r="L352" i="39"/>
  <c r="L390" i="39"/>
  <c r="J375" i="39"/>
  <c r="H289" i="5"/>
  <c r="J260" i="39"/>
  <c r="I202" i="39"/>
  <c r="I346" i="39"/>
  <c r="H34" i="5"/>
  <c r="H128" i="5"/>
  <c r="H170" i="39"/>
  <c r="H189" i="39"/>
  <c r="I198" i="39"/>
  <c r="J361" i="39"/>
  <c r="I225" i="39"/>
  <c r="H397" i="39"/>
  <c r="K360" i="39"/>
  <c r="L161" i="39"/>
  <c r="K337" i="39"/>
  <c r="L201" i="39"/>
  <c r="K262" i="39"/>
  <c r="I297" i="39"/>
  <c r="L356" i="39"/>
  <c r="L299" i="39"/>
  <c r="K249" i="39"/>
  <c r="J340" i="39"/>
  <c r="K358" i="39"/>
  <c r="I107" i="39"/>
  <c r="J374" i="39"/>
  <c r="K325" i="39"/>
  <c r="K398" i="39"/>
  <c r="I172" i="39"/>
  <c r="K170" i="39"/>
  <c r="K240" i="39"/>
  <c r="K119" i="39"/>
  <c r="H319" i="5"/>
  <c r="J419" i="39"/>
  <c r="L445" i="39"/>
  <c r="J350" i="39"/>
  <c r="K371" i="39"/>
  <c r="I244" i="39"/>
  <c r="K199" i="39"/>
  <c r="L377" i="39"/>
  <c r="K202" i="39"/>
  <c r="H193" i="39"/>
  <c r="L344" i="39"/>
  <c r="H379" i="39"/>
  <c r="I361" i="39"/>
  <c r="H300" i="39"/>
  <c r="K108" i="39"/>
  <c r="H160" i="39"/>
  <c r="L421" i="39"/>
  <c r="H249" i="39"/>
  <c r="J325" i="39"/>
  <c r="I342" i="39"/>
  <c r="H325" i="5"/>
  <c r="K447" i="39"/>
  <c r="H140" i="5"/>
  <c r="H334" i="39"/>
  <c r="H228" i="5"/>
  <c r="K455" i="39"/>
  <c r="H304" i="39"/>
  <c r="L284" i="39"/>
  <c r="J450" i="39"/>
  <c r="H90" i="39"/>
  <c r="H259" i="39"/>
  <c r="H311" i="39"/>
  <c r="I345" i="39"/>
  <c r="H145" i="39"/>
  <c r="H441" i="39"/>
  <c r="K175" i="39"/>
  <c r="K317" i="39"/>
  <c r="H315" i="5"/>
  <c r="I99" i="39"/>
  <c r="H349" i="39"/>
  <c r="L383" i="39"/>
  <c r="H289" i="39"/>
  <c r="J81" i="39"/>
  <c r="I97" i="39"/>
  <c r="I348" i="39"/>
  <c r="L449" i="39"/>
  <c r="L243" i="39"/>
  <c r="H58" i="5"/>
  <c r="J397" i="39"/>
  <c r="I458" i="39"/>
  <c r="K443" i="39"/>
  <c r="H305" i="5"/>
  <c r="H351" i="5"/>
  <c r="K180" i="39"/>
  <c r="L83" i="39"/>
  <c r="H372" i="5"/>
  <c r="H351" i="39"/>
  <c r="J457" i="39"/>
  <c r="H378" i="39"/>
  <c r="L294" i="39"/>
  <c r="L183" i="39"/>
  <c r="I101" i="39"/>
  <c r="L246" i="39"/>
  <c r="I296" i="39"/>
  <c r="H149" i="39"/>
  <c r="L115" i="39"/>
  <c r="I234" i="39"/>
  <c r="I115" i="39"/>
  <c r="L269" i="39"/>
  <c r="L404" i="39"/>
  <c r="I396" i="39"/>
  <c r="K97" i="39"/>
  <c r="L342" i="39"/>
  <c r="K435" i="39"/>
  <c r="L441" i="39"/>
  <c r="J203" i="39"/>
  <c r="J258" i="39"/>
  <c r="H2" i="5"/>
  <c r="H113" i="39"/>
  <c r="H445" i="39"/>
  <c r="H183" i="5"/>
  <c r="I203" i="39"/>
  <c r="J179" i="39"/>
  <c r="I153" i="39"/>
  <c r="L249" i="39"/>
  <c r="H279" i="39"/>
  <c r="H215" i="39"/>
  <c r="J395" i="39"/>
  <c r="I399" i="39"/>
  <c r="K275" i="39"/>
  <c r="L236" i="39"/>
  <c r="L200" i="39"/>
  <c r="L438" i="39"/>
  <c r="J302" i="39"/>
  <c r="H134" i="5"/>
  <c r="H308" i="39"/>
  <c r="K285" i="39"/>
  <c r="J439" i="39"/>
  <c r="K257" i="39"/>
  <c r="J384" i="39"/>
  <c r="L104" i="39"/>
  <c r="H108" i="39"/>
  <c r="H382" i="39"/>
  <c r="L265" i="39"/>
  <c r="H59" i="5"/>
  <c r="K158" i="39"/>
  <c r="H281" i="5"/>
  <c r="J286" i="39"/>
  <c r="L273" i="39"/>
  <c r="J105" i="39"/>
  <c r="K236" i="39"/>
  <c r="I374" i="39"/>
  <c r="J225" i="39"/>
  <c r="J195" i="39"/>
  <c r="J214" i="39"/>
  <c r="H349" i="5"/>
  <c r="L266" i="39"/>
  <c r="L129" i="39"/>
  <c r="K94" i="39"/>
  <c r="K430" i="39"/>
  <c r="K404" i="39"/>
  <c r="L286" i="39"/>
  <c r="H267" i="39"/>
  <c r="J187" i="39"/>
  <c r="L157" i="39"/>
  <c r="I267" i="39"/>
  <c r="K239" i="39"/>
  <c r="H174" i="39"/>
  <c r="L103" i="39"/>
  <c r="L271" i="39"/>
  <c r="K154" i="39"/>
  <c r="I444" i="39"/>
  <c r="J91" i="39"/>
  <c r="I332" i="39"/>
  <c r="I152" i="39"/>
  <c r="J114" i="39"/>
  <c r="H112" i="39"/>
  <c r="L275" i="39"/>
  <c r="I446" i="39"/>
  <c r="H53" i="5"/>
  <c r="J215" i="39"/>
  <c r="J86" i="39"/>
  <c r="H235" i="39"/>
  <c r="I212" i="39"/>
  <c r="H41" i="5"/>
  <c r="H316" i="5"/>
  <c r="H47" i="5"/>
  <c r="I166" i="39"/>
  <c r="L167" i="39"/>
  <c r="H338" i="5"/>
  <c r="J106" i="39"/>
  <c r="L396" i="39"/>
  <c r="H182" i="5"/>
  <c r="H177" i="5"/>
  <c r="H99" i="39"/>
  <c r="L319" i="39"/>
  <c r="H268" i="39"/>
  <c r="J322" i="39"/>
  <c r="H270" i="5"/>
  <c r="H38" i="5"/>
  <c r="K394" i="39"/>
  <c r="L142" i="39"/>
  <c r="K245" i="39"/>
  <c r="H146" i="5"/>
  <c r="I87" i="39"/>
  <c r="H154" i="5"/>
  <c r="L258" i="39"/>
  <c r="J411" i="39"/>
  <c r="J173" i="39"/>
  <c r="J218" i="39"/>
  <c r="L119" i="39"/>
  <c r="H336" i="39"/>
  <c r="H400" i="39"/>
  <c r="I417" i="39"/>
  <c r="K250" i="39"/>
  <c r="H264" i="39"/>
  <c r="I426" i="39"/>
  <c r="K210" i="39"/>
  <c r="I442" i="39"/>
  <c r="L418" i="39"/>
  <c r="H193" i="5"/>
  <c r="L393" i="39"/>
  <c r="H286" i="5"/>
  <c r="K258" i="39"/>
  <c r="H370" i="5"/>
  <c r="I209" i="39"/>
  <c r="K246" i="39"/>
  <c r="L114" i="39"/>
  <c r="H267" i="5"/>
  <c r="H156" i="5"/>
  <c r="H277" i="39"/>
  <c r="K174" i="39"/>
  <c r="J369" i="39"/>
  <c r="H205" i="39"/>
  <c r="I94" i="39"/>
  <c r="H263" i="39"/>
  <c r="I319" i="39"/>
  <c r="J175" i="39"/>
  <c r="K315" i="39"/>
  <c r="H432" i="39"/>
  <c r="I216" i="39"/>
  <c r="L109" i="39"/>
  <c r="J127" i="39"/>
  <c r="K213" i="39"/>
  <c r="K233" i="39"/>
  <c r="H130" i="5"/>
  <c r="K266" i="39"/>
  <c r="H346" i="39"/>
  <c r="I123" i="39"/>
  <c r="K177" i="39"/>
  <c r="K342" i="39"/>
  <c r="J87" i="39"/>
  <c r="I263" i="39"/>
  <c r="L320" i="39"/>
  <c r="H312" i="5"/>
  <c r="H157" i="5"/>
  <c r="L315" i="39"/>
  <c r="K247" i="39"/>
  <c r="J293" i="39"/>
  <c r="J222" i="39"/>
  <c r="J376" i="39"/>
  <c r="H178" i="39"/>
  <c r="L96" i="39"/>
  <c r="I311" i="39"/>
  <c r="J164" i="39"/>
  <c r="J403" i="39"/>
  <c r="H159" i="5"/>
  <c r="K283" i="39"/>
  <c r="H345" i="39"/>
  <c r="J287" i="39"/>
  <c r="I366" i="39"/>
  <c r="L331" i="39"/>
  <c r="J306" i="39"/>
  <c r="H46" i="5"/>
  <c r="I124" i="39"/>
  <c r="H343" i="5"/>
  <c r="H111" i="5"/>
  <c r="H321" i="39"/>
  <c r="H51" i="5"/>
  <c r="J256" i="39"/>
  <c r="J382" i="39"/>
  <c r="I249" i="39"/>
  <c r="L336" i="39"/>
  <c r="H176" i="39"/>
  <c r="L133" i="39"/>
  <c r="J119" i="39"/>
  <c r="L155" i="39"/>
  <c r="H459" i="39"/>
  <c r="K310" i="39"/>
  <c r="L102" i="39"/>
  <c r="K438" i="39"/>
  <c r="K318" i="39"/>
  <c r="L277" i="39"/>
  <c r="I206" i="39"/>
  <c r="K98" i="39"/>
  <c r="L206" i="39"/>
  <c r="H256" i="39"/>
  <c r="H314" i="39"/>
  <c r="H434" i="39"/>
  <c r="J252" i="39"/>
  <c r="L228" i="39"/>
  <c r="K197" i="39"/>
  <c r="L340" i="39"/>
  <c r="H280" i="5"/>
  <c r="J253" i="39"/>
  <c r="I157" i="39"/>
  <c r="L406" i="39"/>
  <c r="H96" i="39"/>
  <c r="K216" i="39"/>
  <c r="I252" i="39"/>
  <c r="H247" i="39"/>
  <c r="H19" i="5"/>
  <c r="H84" i="39"/>
  <c r="L330" i="39"/>
  <c r="L165" i="39"/>
  <c r="L375" i="39"/>
  <c r="I117" i="39"/>
  <c r="H236" i="39"/>
  <c r="K220" i="39"/>
  <c r="H370" i="39"/>
  <c r="K356" i="39"/>
  <c r="F32" i="6"/>
  <c r="H246" i="39"/>
  <c r="L310" i="39"/>
  <c r="H287" i="5"/>
  <c r="H287" i="39"/>
  <c r="H358" i="39"/>
  <c r="L156" i="39"/>
  <c r="K201" i="39"/>
  <c r="K365" i="39"/>
  <c r="J352" i="39"/>
  <c r="H301" i="5"/>
  <c r="I146" i="39"/>
  <c r="H396" i="39"/>
  <c r="J330" i="39"/>
  <c r="K195" i="39"/>
  <c r="J307" i="39"/>
  <c r="H84" i="5"/>
  <c r="L221" i="39"/>
  <c r="J134" i="39"/>
  <c r="K362" i="39"/>
  <c r="I186" i="39"/>
  <c r="H404" i="39"/>
  <c r="L401" i="39"/>
  <c r="K196" i="39"/>
  <c r="K231" i="39"/>
  <c r="H420" i="39"/>
  <c r="K348" i="39"/>
  <c r="I111" i="39"/>
  <c r="K157" i="39"/>
  <c r="K241" i="39"/>
  <c r="L86" i="39"/>
  <c r="H191" i="39"/>
  <c r="H371" i="39"/>
  <c r="K140" i="39"/>
  <c r="L274" i="39"/>
  <c r="I284" i="39"/>
  <c r="H292" i="39"/>
  <c r="H226" i="39"/>
  <c r="J309" i="39"/>
  <c r="J452" i="39"/>
  <c r="K454" i="39"/>
  <c r="J391" i="39"/>
  <c r="I314" i="39"/>
  <c r="L147" i="39"/>
  <c r="L194" i="39"/>
  <c r="L290" i="39"/>
  <c r="J82" i="39"/>
  <c r="H175" i="5"/>
  <c r="H242" i="5"/>
  <c r="I235" i="39"/>
  <c r="K306" i="39"/>
  <c r="H103" i="39"/>
  <c r="H252" i="5"/>
  <c r="J85" i="39"/>
  <c r="H423" i="39"/>
  <c r="H330" i="5"/>
  <c r="H377" i="5"/>
  <c r="J360" i="39"/>
  <c r="K184" i="39"/>
  <c r="H136" i="5"/>
  <c r="H272" i="5"/>
  <c r="K183" i="39"/>
  <c r="J200" i="39"/>
  <c r="L259" i="39"/>
  <c r="H152" i="5"/>
  <c r="L240" i="39"/>
  <c r="H238" i="39"/>
  <c r="H17" i="5"/>
  <c r="J113" i="39"/>
  <c r="K452" i="39"/>
  <c r="J243" i="39"/>
  <c r="J416" i="39"/>
  <c r="H262" i="39"/>
  <c r="J406" i="39"/>
  <c r="H42" i="5"/>
  <c r="J284" i="39"/>
  <c r="K163" i="39"/>
  <c r="K182" i="39"/>
  <c r="H132" i="5"/>
  <c r="I136" i="39"/>
  <c r="L372" i="39"/>
  <c r="K81" i="39"/>
  <c r="L374" i="39"/>
  <c r="J80" i="39"/>
  <c r="H331" i="39"/>
  <c r="J392" i="39"/>
  <c r="K244" i="39"/>
  <c r="I116" i="39"/>
  <c r="J212" i="39"/>
  <c r="H336" i="5"/>
  <c r="L124" i="39"/>
  <c r="H11" i="5"/>
  <c r="K449" i="39"/>
  <c r="J316" i="39"/>
  <c r="J440" i="39"/>
  <c r="L88" i="39"/>
  <c r="J129" i="39"/>
  <c r="H300" i="5"/>
  <c r="H410" i="39"/>
  <c r="I274" i="39"/>
  <c r="J117" i="39"/>
  <c r="H206" i="5"/>
  <c r="I171" i="39"/>
  <c r="J337" i="39"/>
  <c r="K422" i="39"/>
  <c r="K436" i="39"/>
  <c r="H285" i="5"/>
  <c r="K319" i="39"/>
  <c r="H78" i="5"/>
  <c r="J149" i="39"/>
  <c r="K221" i="39"/>
  <c r="K293" i="39"/>
  <c r="I415" i="39"/>
  <c r="K292" i="39"/>
  <c r="I239" i="39"/>
  <c r="J344" i="39"/>
  <c r="K311" i="39"/>
  <c r="K88" i="39"/>
  <c r="I291" i="39"/>
  <c r="L391" i="39"/>
  <c r="L333" i="39"/>
  <c r="K176" i="39"/>
  <c r="J216" i="39"/>
  <c r="J285" i="39"/>
  <c r="L247" i="39"/>
  <c r="J300" i="39"/>
  <c r="I363" i="39"/>
  <c r="L346" i="39"/>
  <c r="L359" i="39"/>
  <c r="H161" i="5"/>
  <c r="L164" i="39"/>
  <c r="H450" i="39"/>
  <c r="L288" i="39"/>
  <c r="I143" i="39"/>
  <c r="H171" i="39"/>
  <c r="L360" i="39"/>
  <c r="J188" i="39"/>
  <c r="I347" i="39"/>
  <c r="H207" i="5"/>
  <c r="J132" i="39"/>
  <c r="L139" i="39"/>
  <c r="J245" i="39"/>
  <c r="H281" i="39"/>
  <c r="I264" i="39"/>
  <c r="J347" i="39"/>
  <c r="J97" i="39"/>
  <c r="K130" i="39"/>
  <c r="J442" i="39"/>
  <c r="H390" i="39"/>
  <c r="H356" i="5"/>
  <c r="J161" i="39"/>
  <c r="J275" i="39"/>
  <c r="J278" i="39"/>
  <c r="J242" i="39"/>
  <c r="K217" i="39"/>
  <c r="K160" i="39"/>
  <c r="H350" i="5"/>
  <c r="K178" i="39"/>
  <c r="H166" i="39"/>
  <c r="I105" i="39"/>
  <c r="H168" i="5"/>
  <c r="I232" i="39"/>
  <c r="K151" i="39"/>
  <c r="J456" i="39"/>
  <c r="H412" i="39"/>
  <c r="L238" i="39"/>
  <c r="H252" i="39"/>
  <c r="H323" i="5"/>
  <c r="H181" i="5"/>
  <c r="I328" i="39"/>
  <c r="I418" i="39"/>
  <c r="L245" i="39"/>
  <c r="K179" i="39"/>
  <c r="L146" i="39"/>
  <c r="K279" i="39"/>
  <c r="K393" i="39"/>
  <c r="K165" i="39"/>
  <c r="J280" i="39"/>
  <c r="H373" i="5"/>
  <c r="K208" i="39"/>
  <c r="I294" i="39"/>
  <c r="J276" i="39"/>
  <c r="L80" i="39"/>
  <c r="I233" i="39"/>
  <c r="H358" i="5"/>
  <c r="H298" i="39"/>
  <c r="K214" i="39"/>
  <c r="L214" i="39"/>
  <c r="J386" i="39"/>
  <c r="H117" i="5"/>
  <c r="J108" i="39"/>
  <c r="L207" i="39"/>
  <c r="L153" i="39"/>
  <c r="I205" i="39"/>
  <c r="I372" i="39"/>
  <c r="J432" i="39"/>
  <c r="I127" i="39"/>
  <c r="L328" i="39"/>
  <c r="L94" i="39"/>
  <c r="H121" i="5"/>
  <c r="J318" i="39"/>
  <c r="K149" i="39"/>
  <c r="J144" i="39"/>
  <c r="L323" i="39"/>
  <c r="I419" i="39"/>
  <c r="K224" i="39"/>
  <c r="H182" i="39"/>
  <c r="I412" i="39"/>
  <c r="H458" i="39"/>
  <c r="K222" i="39"/>
  <c r="J454" i="39"/>
  <c r="K102" i="39"/>
  <c r="I129" i="39"/>
  <c r="L292" i="39"/>
  <c r="L293" i="39"/>
  <c r="J219" i="39"/>
  <c r="K225" i="39"/>
  <c r="L276" i="39"/>
  <c r="I317" i="39"/>
  <c r="J207" i="39"/>
  <c r="H328" i="39"/>
  <c r="J430" i="39"/>
  <c r="L335" i="39"/>
  <c r="H282" i="39"/>
  <c r="J273" i="39"/>
  <c r="I165" i="39"/>
  <c r="I414" i="39"/>
  <c r="H169" i="39"/>
  <c r="I133" i="39"/>
  <c r="L366" i="39"/>
  <c r="J193" i="39"/>
  <c r="I382" i="39"/>
  <c r="H337" i="5"/>
  <c r="J381" i="39"/>
  <c r="J249" i="39"/>
  <c r="J172" i="39"/>
  <c r="L407" i="39"/>
  <c r="K425" i="39"/>
  <c r="L193" i="39"/>
  <c r="L138" i="39"/>
  <c r="I298" i="39"/>
  <c r="L130" i="39"/>
  <c r="L213" i="39"/>
  <c r="L355" i="39"/>
  <c r="K338" i="39"/>
  <c r="J136" i="39"/>
  <c r="L444" i="39"/>
  <c r="K460" i="39"/>
  <c r="I245" i="39"/>
  <c r="L291" i="39"/>
  <c r="I256" i="39"/>
  <c r="H64" i="5"/>
  <c r="J431" i="39"/>
  <c r="I176" i="39"/>
  <c r="J407" i="39"/>
  <c r="L420" i="39"/>
  <c r="J123" i="39"/>
  <c r="I436" i="39"/>
  <c r="I112" i="39"/>
  <c r="H447" i="39"/>
  <c r="I302" i="39"/>
  <c r="I86" i="39"/>
  <c r="H303" i="39"/>
  <c r="I400" i="39"/>
  <c r="I229" i="39"/>
  <c r="L425" i="39"/>
  <c r="L343" i="39"/>
  <c r="H276" i="5"/>
  <c r="H373" i="39"/>
  <c r="J281" i="39"/>
  <c r="K86" i="39"/>
  <c r="L358" i="39"/>
  <c r="H383" i="39"/>
  <c r="I433" i="39"/>
  <c r="H43" i="5"/>
  <c r="J186" i="39"/>
  <c r="H213" i="39"/>
  <c r="J137" i="39"/>
  <c r="K206" i="39"/>
  <c r="H62" i="5"/>
  <c r="H172" i="39"/>
  <c r="H98" i="39"/>
  <c r="L325" i="39"/>
  <c r="L332" i="39"/>
  <c r="K134" i="39"/>
  <c r="K389" i="39"/>
  <c r="I371" i="39"/>
  <c r="L89" i="39"/>
  <c r="J270" i="39"/>
  <c r="I255" i="39"/>
  <c r="K136" i="39"/>
  <c r="K252" i="39"/>
  <c r="H367" i="5"/>
  <c r="I352" i="39"/>
  <c r="K169" i="39"/>
  <c r="H333" i="39"/>
  <c r="I280" i="39"/>
  <c r="H198" i="39"/>
  <c r="L338" i="39"/>
  <c r="J267" i="39"/>
  <c r="J235" i="39"/>
  <c r="J183" i="39"/>
  <c r="I338" i="39"/>
  <c r="I392" i="39"/>
  <c r="I404" i="39"/>
  <c r="L367" i="39"/>
  <c r="H454" i="39"/>
  <c r="I213" i="39"/>
  <c r="I83" i="39"/>
  <c r="J415" i="39"/>
  <c r="L403" i="39"/>
  <c r="L92" i="39"/>
  <c r="J296" i="39"/>
  <c r="I118" i="39"/>
  <c r="K146" i="39"/>
  <c r="K432" i="39"/>
  <c r="L128" i="39"/>
  <c r="K150" i="39"/>
  <c r="J444" i="39"/>
  <c r="I192" i="39"/>
  <c r="H455" i="39"/>
  <c r="K126" i="39"/>
  <c r="K442" i="39"/>
  <c r="L250" i="39"/>
  <c r="I460" i="39"/>
  <c r="J231" i="39"/>
  <c r="J313" i="39"/>
  <c r="J221" i="39"/>
  <c r="K408" i="39"/>
  <c r="L149" i="39"/>
  <c r="I359" i="39"/>
  <c r="J428" i="39"/>
  <c r="H253" i="39"/>
  <c r="J458" i="39"/>
  <c r="L230" i="39"/>
  <c r="H374" i="5"/>
  <c r="I376" i="39"/>
  <c r="I196" i="39"/>
  <c r="I199" i="39"/>
  <c r="L97" i="39"/>
  <c r="L180" i="39"/>
  <c r="J420" i="39"/>
  <c r="J177" i="39"/>
  <c r="K167" i="39"/>
  <c r="I362" i="39"/>
  <c r="H372" i="39"/>
  <c r="K82" i="39"/>
  <c r="I425" i="39"/>
  <c r="K137" i="39"/>
  <c r="J124" i="39"/>
  <c r="H155" i="39"/>
  <c r="L416" i="39"/>
  <c r="J154" i="39"/>
  <c r="K207" i="39"/>
  <c r="J156" i="39"/>
  <c r="L197" i="39"/>
  <c r="H177" i="39"/>
  <c r="I174" i="39"/>
  <c r="L389" i="39"/>
  <c r="K444" i="39"/>
  <c r="J373" i="39"/>
  <c r="L186" i="39"/>
  <c r="J150" i="39"/>
  <c r="H393" i="39"/>
  <c r="I128" i="39"/>
  <c r="I368" i="39"/>
  <c r="L144" i="39"/>
  <c r="L120" i="39"/>
  <c r="I312" i="39"/>
  <c r="K302" i="39"/>
  <c r="H194" i="39"/>
  <c r="H105" i="5"/>
  <c r="J266" i="39"/>
  <c r="L308" i="39"/>
  <c r="H113" i="5"/>
  <c r="I259" i="39"/>
  <c r="L170" i="39"/>
  <c r="I403" i="39"/>
  <c r="J167" i="39"/>
  <c r="L413" i="39"/>
  <c r="J220" i="39"/>
  <c r="J269" i="39"/>
  <c r="J139" i="39"/>
  <c r="J83" i="39"/>
  <c r="H247" i="5"/>
  <c r="K286" i="39"/>
  <c r="K312" i="39"/>
  <c r="I329" i="39"/>
  <c r="L95" i="39"/>
  <c r="I236" i="39"/>
  <c r="I100" i="39"/>
  <c r="H334" i="5"/>
  <c r="I197" i="39"/>
  <c r="H79" i="5"/>
  <c r="K114" i="39"/>
  <c r="I307" i="39"/>
  <c r="J423" i="39"/>
  <c r="H416" i="39"/>
  <c r="I185" i="39"/>
  <c r="J410" i="39"/>
  <c r="K93" i="39"/>
  <c r="K289" i="39"/>
  <c r="L447" i="39"/>
  <c r="I293" i="39"/>
  <c r="I420" i="39"/>
  <c r="L322" i="39"/>
  <c r="H85" i="39"/>
  <c r="J351" i="39"/>
  <c r="L101" i="39"/>
  <c r="L125" i="39"/>
  <c r="I309" i="39"/>
  <c r="K414" i="39"/>
  <c r="I300" i="39"/>
  <c r="I151" i="39"/>
  <c r="J433" i="39"/>
  <c r="K433" i="39"/>
  <c r="J135" i="39"/>
  <c r="K349" i="39"/>
  <c r="J339" i="39"/>
  <c r="H319" i="39"/>
  <c r="L135" i="39"/>
  <c r="I154" i="39"/>
  <c r="K376" i="39"/>
  <c r="H185" i="5"/>
  <c r="L311" i="39"/>
  <c r="J314" i="39"/>
  <c r="I109" i="39"/>
  <c r="H440" i="39"/>
  <c r="I180" i="39"/>
  <c r="I383" i="39"/>
  <c r="K211" i="39"/>
  <c r="L242" i="39"/>
  <c r="H271" i="39"/>
  <c r="J118" i="39"/>
  <c r="J335" i="39"/>
  <c r="H335" i="5"/>
  <c r="J310" i="39"/>
  <c r="H323" i="39"/>
  <c r="J400" i="39"/>
  <c r="L185" i="39"/>
  <c r="J176" i="39"/>
  <c r="L224" i="39"/>
  <c r="I108" i="39"/>
  <c r="I270" i="39"/>
  <c r="I248" i="39"/>
  <c r="K284" i="39"/>
  <c r="H218" i="5"/>
  <c r="J125" i="39"/>
  <c r="L159" i="39"/>
  <c r="L348" i="39"/>
  <c r="L199" i="39"/>
  <c r="H190" i="39"/>
  <c r="K391" i="39"/>
  <c r="L227" i="39"/>
  <c r="L431" i="39"/>
  <c r="K409" i="39"/>
  <c r="K363" i="39"/>
  <c r="I364" i="39"/>
  <c r="L132" i="39"/>
  <c r="I301" i="39"/>
  <c r="J308" i="39"/>
  <c r="J315" i="39"/>
  <c r="I210" i="39"/>
  <c r="H294" i="39"/>
  <c r="K297" i="39"/>
  <c r="L427" i="39"/>
  <c r="K403" i="39"/>
  <c r="L235" i="39"/>
  <c r="J241" i="39"/>
  <c r="I221" i="39"/>
  <c r="L305" i="39"/>
  <c r="I408" i="39"/>
  <c r="H107" i="39"/>
  <c r="H460" i="39"/>
  <c r="K274" i="39"/>
  <c r="I281" i="39"/>
  <c r="H364" i="5"/>
  <c r="K135" i="39"/>
  <c r="H395" i="39"/>
  <c r="K110" i="39"/>
  <c r="K125" i="39"/>
  <c r="I427" i="39"/>
  <c r="I327" i="39"/>
  <c r="I121" i="39"/>
  <c r="I224" i="39"/>
  <c r="L440" i="39"/>
  <c r="J96" i="39"/>
  <c r="K331" i="39"/>
  <c r="I337" i="39"/>
  <c r="L272" i="39"/>
  <c r="K327" i="39"/>
  <c r="L241" i="39"/>
  <c r="L442" i="39"/>
  <c r="J332" i="39"/>
  <c r="J323" i="39"/>
  <c r="H203" i="5"/>
  <c r="K269" i="39"/>
  <c r="K124" i="39"/>
  <c r="L278" i="39"/>
  <c r="I237" i="39"/>
  <c r="H22" i="5"/>
  <c r="J367" i="39"/>
  <c r="H120" i="39"/>
  <c r="I81" i="39"/>
  <c r="H88" i="39"/>
  <c r="L364" i="39"/>
  <c r="L423" i="39"/>
  <c r="K272" i="39"/>
  <c r="H7" i="5"/>
  <c r="L422" i="39"/>
  <c r="L154" i="39"/>
  <c r="K141" i="39"/>
  <c r="I119" i="39"/>
  <c r="H24" i="5"/>
  <c r="H329" i="5"/>
  <c r="J408" i="39"/>
  <c r="L341" i="39"/>
  <c r="J303" i="39"/>
  <c r="K333" i="39"/>
  <c r="L430" i="39"/>
  <c r="J112" i="39"/>
  <c r="L172" i="39"/>
  <c r="J240" i="39"/>
  <c r="J189" i="39"/>
  <c r="K291" i="39"/>
  <c r="L91" i="39"/>
  <c r="I262" i="39"/>
  <c r="L143" i="39"/>
  <c r="K400" i="39"/>
  <c r="J366" i="39"/>
  <c r="J254" i="39"/>
  <c r="J84" i="39"/>
  <c r="I91" i="39"/>
  <c r="I405" i="39"/>
  <c r="H13" i="5"/>
  <c r="I227" i="39"/>
  <c r="J404" i="39"/>
  <c r="H381" i="39"/>
  <c r="I120" i="39"/>
  <c r="J147" i="39"/>
  <c r="J414" i="39"/>
  <c r="L105" i="39"/>
  <c r="H258" i="5"/>
  <c r="I214" i="39"/>
  <c r="H433" i="39"/>
  <c r="K298" i="39"/>
  <c r="H151" i="5"/>
  <c r="K419" i="39"/>
  <c r="H384" i="39"/>
  <c r="L327" i="39"/>
  <c r="H8" i="5"/>
  <c r="K192" i="39"/>
  <c r="L218" i="39"/>
  <c r="J342" i="39"/>
  <c r="I305" i="39"/>
  <c r="H39" i="5"/>
  <c r="K200" i="39"/>
  <c r="K96" i="39"/>
  <c r="I450" i="39"/>
  <c r="H326" i="5"/>
  <c r="I194" i="39"/>
  <c r="L287" i="39"/>
  <c r="H314" i="5"/>
  <c r="K421" i="39"/>
  <c r="L261" i="39"/>
  <c r="I260" i="39"/>
  <c r="J130" i="39"/>
  <c r="I384" i="39"/>
  <c r="I448" i="39"/>
  <c r="L337" i="39"/>
  <c r="J359" i="39"/>
  <c r="K352" i="39"/>
  <c r="L324" i="39"/>
  <c r="J182" i="39"/>
  <c r="H125" i="39"/>
  <c r="K234" i="39"/>
  <c r="H407" i="39"/>
  <c r="H430" i="39"/>
  <c r="L257" i="39"/>
  <c r="J103" i="39"/>
  <c r="K265" i="39"/>
  <c r="H330" i="39"/>
  <c r="H228" i="39"/>
  <c r="H181" i="39"/>
  <c r="L424" i="39"/>
  <c r="K354" i="39"/>
  <c r="L433" i="39"/>
  <c r="H227" i="5"/>
  <c r="H255" i="5"/>
  <c r="I288" i="39"/>
  <c r="J166" i="39"/>
  <c r="I335" i="39"/>
  <c r="I98" i="39"/>
  <c r="L279" i="39"/>
  <c r="H362" i="39"/>
  <c r="L127" i="39"/>
  <c r="I183" i="39"/>
  <c r="H81" i="5"/>
  <c r="J170" i="39"/>
  <c r="K172" i="39"/>
  <c r="L231" i="39"/>
  <c r="H176" i="5"/>
  <c r="L405" i="39"/>
  <c r="K345" i="39"/>
  <c r="J356" i="39"/>
  <c r="I178" i="39"/>
  <c r="J95" i="39"/>
  <c r="K185" i="39"/>
  <c r="I184" i="39"/>
  <c r="H141" i="5"/>
  <c r="H148" i="39"/>
  <c r="I140" i="39"/>
  <c r="L392" i="39"/>
  <c r="I304" i="39"/>
  <c r="L312" i="39"/>
  <c r="K230" i="39"/>
  <c r="K339" i="39"/>
  <c r="K187" i="39"/>
  <c r="I218" i="39"/>
  <c r="K359" i="39"/>
  <c r="L188" i="39"/>
  <c r="K113" i="39"/>
  <c r="H184" i="5"/>
  <c r="H266" i="39"/>
  <c r="J370" i="39"/>
  <c r="J326" i="39"/>
  <c r="J153" i="39"/>
  <c r="I170" i="39"/>
  <c r="J192" i="39"/>
  <c r="K270" i="39"/>
  <c r="L285" i="39"/>
  <c r="J191" i="39"/>
  <c r="J155" i="39"/>
  <c r="H248" i="39"/>
  <c r="H45" i="5"/>
  <c r="K162" i="39"/>
  <c r="K361" i="39"/>
  <c r="I182" i="39"/>
  <c r="J257" i="39"/>
  <c r="H283" i="5"/>
  <c r="K288" i="39"/>
  <c r="H265" i="5"/>
  <c r="H63" i="5"/>
  <c r="J101" i="39"/>
  <c r="K368" i="39"/>
  <c r="L168" i="39"/>
  <c r="L297" i="39"/>
  <c r="I155" i="39"/>
  <c r="H297" i="39"/>
  <c r="L108" i="39"/>
  <c r="L251" i="39"/>
  <c r="K410" i="39"/>
  <c r="I285" i="39"/>
  <c r="J204" i="39"/>
  <c r="K84" i="39"/>
  <c r="L171" i="39"/>
  <c r="I200" i="39"/>
  <c r="H111" i="39"/>
  <c r="J362" i="39"/>
  <c r="K350" i="39"/>
  <c r="K321" i="39"/>
  <c r="K412" i="39"/>
  <c r="J109" i="39"/>
  <c r="K336" i="39"/>
  <c r="H343" i="39"/>
  <c r="I394" i="39"/>
  <c r="H383" i="5"/>
  <c r="J434" i="39"/>
  <c r="L262" i="39"/>
  <c r="H229" i="5"/>
  <c r="H201" i="5"/>
  <c r="I163" i="39"/>
  <c r="H374" i="39"/>
  <c r="K171" i="39"/>
  <c r="L136" i="39"/>
  <c r="K188" i="39"/>
  <c r="K322" i="39"/>
  <c r="H158" i="39"/>
  <c r="I410" i="39"/>
  <c r="K256" i="39"/>
  <c r="H126" i="39"/>
  <c r="H194" i="5"/>
  <c r="J262" i="39"/>
  <c r="K109" i="39"/>
  <c r="H293" i="39"/>
  <c r="J251" i="39"/>
  <c r="I201" i="39"/>
  <c r="I238" i="39"/>
  <c r="I330" i="39"/>
  <c r="I322" i="39"/>
  <c r="H131" i="39"/>
  <c r="L300" i="39"/>
  <c r="K377" i="39"/>
  <c r="J163" i="39"/>
  <c r="H453" i="39"/>
  <c r="I219" i="39"/>
  <c r="H361" i="5"/>
  <c r="K355" i="39"/>
  <c r="J438" i="39"/>
  <c r="H271" i="5"/>
  <c r="L100" i="39"/>
  <c r="L173" i="39"/>
  <c r="J107" i="39"/>
  <c r="K383" i="39"/>
  <c r="H241" i="5"/>
  <c r="I147" i="39"/>
  <c r="I411" i="39"/>
  <c r="E318" i="39" l="1"/>
  <c r="B315" i="58"/>
  <c r="I241" i="5"/>
  <c r="B345" i="58"/>
  <c r="W34" i="56"/>
  <c r="W35" i="56"/>
  <c r="W33" i="56"/>
  <c r="W37" i="56"/>
  <c r="E348" i="39"/>
  <c r="I271" i="5"/>
  <c r="W36" i="56"/>
  <c r="B435" i="58"/>
  <c r="E438" i="39"/>
  <c r="I361" i="5"/>
  <c r="I194" i="5"/>
  <c r="B268" i="58"/>
  <c r="E271" i="39"/>
  <c r="B275" i="58"/>
  <c r="I201" i="5"/>
  <c r="E278" i="39"/>
  <c r="B303" i="58"/>
  <c r="E306" i="39"/>
  <c r="J12" i="51"/>
  <c r="I229" i="5"/>
  <c r="I383" i="5"/>
  <c r="E460" i="39"/>
  <c r="B457" i="58"/>
  <c r="L12" i="51"/>
  <c r="I63" i="5"/>
  <c r="B137" i="58"/>
  <c r="E140" i="39"/>
  <c r="I265" i="5"/>
  <c r="G9" i="51"/>
  <c r="E342" i="39"/>
  <c r="B339" i="58"/>
  <c r="I283" i="5"/>
  <c r="B357" i="58"/>
  <c r="E360" i="39"/>
  <c r="I45" i="5"/>
  <c r="AA45" i="5" s="1"/>
  <c r="E122" i="39"/>
  <c r="B119" i="58"/>
  <c r="B258" i="58"/>
  <c r="E261" i="39"/>
  <c r="I184" i="5"/>
  <c r="E218" i="39"/>
  <c r="I141" i="5"/>
  <c r="B215" i="58"/>
  <c r="E253" i="39"/>
  <c r="B250" i="58"/>
  <c r="N8" i="51"/>
  <c r="I176" i="5"/>
  <c r="E158" i="39"/>
  <c r="I81" i="5"/>
  <c r="B155" i="58"/>
  <c r="E332" i="39"/>
  <c r="I255" i="5"/>
  <c r="B329" i="58"/>
  <c r="J10" i="51"/>
  <c r="E304" i="39"/>
  <c r="B301" i="58"/>
  <c r="I227" i="5"/>
  <c r="E391" i="39"/>
  <c r="B388" i="58"/>
  <c r="I314" i="5"/>
  <c r="AA314" i="5" s="1"/>
  <c r="I326" i="5"/>
  <c r="B400" i="58"/>
  <c r="E403" i="39"/>
  <c r="I39" i="5"/>
  <c r="E116" i="39"/>
  <c r="B113" i="58"/>
  <c r="B82" i="58"/>
  <c r="I8" i="5"/>
  <c r="E85" i="39"/>
  <c r="I151" i="5"/>
  <c r="E228" i="39"/>
  <c r="B225" i="58"/>
  <c r="B332" i="58"/>
  <c r="E335" i="39"/>
  <c r="I258" i="5"/>
  <c r="E90" i="39"/>
  <c r="B87" i="58"/>
  <c r="I13" i="5"/>
  <c r="E406" i="39"/>
  <c r="I329" i="5"/>
  <c r="B403" i="58"/>
  <c r="E101" i="39"/>
  <c r="I24" i="5"/>
  <c r="B98" i="58"/>
  <c r="I7" i="5"/>
  <c r="E84" i="39"/>
  <c r="B81" i="58"/>
  <c r="E99" i="39"/>
  <c r="I22" i="5"/>
  <c r="B96" i="58"/>
  <c r="I203" i="5"/>
  <c r="B277" i="58"/>
  <c r="E280" i="39"/>
  <c r="E441" i="39"/>
  <c r="I364" i="5"/>
  <c r="B438" i="58"/>
  <c r="B292" i="58"/>
  <c r="I218" i="5"/>
  <c r="E295" i="39"/>
  <c r="B409" i="58"/>
  <c r="I335" i="5"/>
  <c r="E412" i="39"/>
  <c r="X28" i="56"/>
  <c r="X27" i="56"/>
  <c r="X30" i="56"/>
  <c r="X29" i="56"/>
  <c r="B259" i="58"/>
  <c r="I185" i="5"/>
  <c r="X31" i="56"/>
  <c r="E262" i="39"/>
  <c r="B153" i="58"/>
  <c r="I79" i="5"/>
  <c r="E156" i="39"/>
  <c r="B408" i="58"/>
  <c r="I334" i="5"/>
  <c r="E411" i="39"/>
  <c r="B321" i="58"/>
  <c r="I247" i="5"/>
  <c r="E324" i="39"/>
  <c r="I113" i="5"/>
  <c r="B187" i="58"/>
  <c r="E190" i="39"/>
  <c r="I105" i="5"/>
  <c r="E182" i="39"/>
  <c r="B179" i="58"/>
  <c r="E451" i="39"/>
  <c r="I374" i="5"/>
  <c r="B448" i="58"/>
  <c r="I367" i="5"/>
  <c r="E444" i="39"/>
  <c r="B441" i="58"/>
  <c r="I62" i="5"/>
  <c r="B136" i="58"/>
  <c r="E139" i="39"/>
  <c r="E120" i="39"/>
  <c r="I43" i="5"/>
  <c r="AA43" i="5" s="1"/>
  <c r="B117" i="58"/>
  <c r="B350" i="58"/>
  <c r="E353" i="39"/>
  <c r="I276" i="5"/>
  <c r="I64" i="5"/>
  <c r="E141" i="39"/>
  <c r="B138" i="58"/>
  <c r="E414" i="39"/>
  <c r="I337" i="5"/>
  <c r="B411" i="58"/>
  <c r="B195" i="58"/>
  <c r="E198" i="39"/>
  <c r="I121" i="5"/>
  <c r="B191" i="58"/>
  <c r="E194" i="39"/>
  <c r="I117" i="5"/>
  <c r="B432" i="58"/>
  <c r="Z28" i="56"/>
  <c r="Z30" i="56"/>
  <c r="Z27" i="56"/>
  <c r="Z29" i="56"/>
  <c r="I358" i="5"/>
  <c r="Z31" i="56"/>
  <c r="E435" i="39"/>
  <c r="E450" i="39"/>
  <c r="B447" i="58"/>
  <c r="I373" i="5"/>
  <c r="B255" i="58"/>
  <c r="I181" i="5"/>
  <c r="E258" i="39"/>
  <c r="N13" i="51"/>
  <c r="T43" i="56"/>
  <c r="T42" i="56"/>
  <c r="I323" i="5"/>
  <c r="T40" i="56"/>
  <c r="T41" i="56"/>
  <c r="E400" i="39"/>
  <c r="B397" i="58"/>
  <c r="T39" i="56"/>
  <c r="E245" i="39"/>
  <c r="B242" i="58"/>
  <c r="I168" i="5"/>
  <c r="AA168" i="5" s="1"/>
  <c r="I350" i="5"/>
  <c r="E427" i="39"/>
  <c r="B424" i="58"/>
  <c r="F11" i="51"/>
  <c r="B430" i="58"/>
  <c r="E433" i="39"/>
  <c r="I356" i="5"/>
  <c r="I207" i="5"/>
  <c r="B281" i="58"/>
  <c r="E284" i="39"/>
  <c r="I161" i="5"/>
  <c r="B235" i="58"/>
  <c r="E238" i="39"/>
  <c r="B152" i="58"/>
  <c r="E155" i="39"/>
  <c r="I78" i="5"/>
  <c r="E362" i="39"/>
  <c r="I285" i="5"/>
  <c r="B359" i="58"/>
  <c r="B280" i="58"/>
  <c r="E283" i="39"/>
  <c r="I206" i="5"/>
  <c r="Y33" i="56"/>
  <c r="Y37" i="56"/>
  <c r="B374" i="58"/>
  <c r="Y35" i="56"/>
  <c r="I300" i="5"/>
  <c r="Y34" i="56"/>
  <c r="Y36" i="56"/>
  <c r="E377" i="39"/>
  <c r="E88" i="39"/>
  <c r="B85" i="58"/>
  <c r="I11" i="5"/>
  <c r="I336" i="5"/>
  <c r="E413" i="39"/>
  <c r="B410" i="58"/>
  <c r="B206" i="58"/>
  <c r="E209" i="39"/>
  <c r="I132" i="5"/>
  <c r="B116" i="58"/>
  <c r="I42" i="5"/>
  <c r="E119" i="39"/>
  <c r="B91" i="58"/>
  <c r="E94" i="39"/>
  <c r="I17" i="5"/>
  <c r="E229" i="39"/>
  <c r="B226" i="58"/>
  <c r="I152" i="5"/>
  <c r="I272" i="5"/>
  <c r="B346" i="58"/>
  <c r="E349" i="39"/>
  <c r="I136" i="5"/>
  <c r="B210" i="58"/>
  <c r="E213" i="39"/>
  <c r="E454" i="39"/>
  <c r="B451" i="58"/>
  <c r="I377" i="5"/>
  <c r="B404" i="58"/>
  <c r="I330" i="5"/>
  <c r="E407" i="39"/>
  <c r="I252" i="5"/>
  <c r="E329" i="39"/>
  <c r="B326" i="58"/>
  <c r="B316" i="58"/>
  <c r="E319" i="39"/>
  <c r="I242" i="5"/>
  <c r="I175" i="5"/>
  <c r="AA175" i="5" s="1"/>
  <c r="B249" i="58"/>
  <c r="E252" i="39"/>
  <c r="I84" i="5"/>
  <c r="E161" i="39"/>
  <c r="B158" i="58"/>
  <c r="E378" i="39"/>
  <c r="B375" i="58"/>
  <c r="I301" i="5"/>
  <c r="E364" i="39"/>
  <c r="B361" i="58"/>
  <c r="I287" i="5"/>
  <c r="C32" i="6"/>
  <c r="E96" i="39"/>
  <c r="B93" i="58"/>
  <c r="I19" i="5"/>
  <c r="E357" i="39"/>
  <c r="B354" i="58"/>
  <c r="I280" i="5"/>
  <c r="E128" i="39"/>
  <c r="I51" i="5"/>
  <c r="B125" i="58"/>
  <c r="B185" i="58"/>
  <c r="E188" i="39"/>
  <c r="I111" i="5"/>
  <c r="E420" i="39"/>
  <c r="B417" i="58"/>
  <c r="I343" i="5"/>
  <c r="B120" i="58"/>
  <c r="I46" i="5"/>
  <c r="E123" i="39"/>
  <c r="B233" i="58"/>
  <c r="AB37" i="56"/>
  <c r="AB33" i="56"/>
  <c r="AB36" i="56"/>
  <c r="I159" i="5"/>
  <c r="AB34" i="56"/>
  <c r="E236" i="39"/>
  <c r="AB35" i="56"/>
  <c r="B231" i="58"/>
  <c r="I157" i="5"/>
  <c r="E234" i="39"/>
  <c r="I312" i="5"/>
  <c r="AA312" i="5" s="1"/>
  <c r="E389" i="39"/>
  <c r="B386" i="58"/>
  <c r="E13" i="51"/>
  <c r="B204" i="58"/>
  <c r="E207" i="39"/>
  <c r="I130" i="5"/>
  <c r="E233" i="39"/>
  <c r="I156" i="5"/>
  <c r="B230" i="58"/>
  <c r="I267" i="5"/>
  <c r="G11" i="51"/>
  <c r="E344" i="39"/>
  <c r="B341" i="58"/>
  <c r="I370" i="5"/>
  <c r="E447" i="39"/>
  <c r="B444" i="58"/>
  <c r="B360" i="58"/>
  <c r="E363" i="39"/>
  <c r="I286" i="5"/>
  <c r="B267" i="58"/>
  <c r="I193" i="5"/>
  <c r="E270" i="39"/>
  <c r="I154" i="5"/>
  <c r="E231" i="39"/>
  <c r="B228" i="58"/>
  <c r="I146" i="5"/>
  <c r="E223" i="39"/>
  <c r="B220" i="58"/>
  <c r="E115" i="39"/>
  <c r="AA34" i="56"/>
  <c r="AA37" i="56"/>
  <c r="AA35" i="56"/>
  <c r="AA33" i="56"/>
  <c r="I38" i="5"/>
  <c r="AA36" i="56"/>
  <c r="B112" i="58"/>
  <c r="W41" i="56"/>
  <c r="I270" i="5"/>
  <c r="B344" i="58"/>
  <c r="E347" i="39"/>
  <c r="W39" i="56"/>
  <c r="W40" i="56"/>
  <c r="W42" i="56"/>
  <c r="W43" i="56"/>
  <c r="E254" i="39"/>
  <c r="B251" i="58"/>
  <c r="I177" i="5"/>
  <c r="AA177" i="5" s="1"/>
  <c r="N9" i="51"/>
  <c r="X39" i="56"/>
  <c r="I182" i="5"/>
  <c r="B256" i="58"/>
  <c r="X43" i="56"/>
  <c r="X42" i="56"/>
  <c r="X40" i="56"/>
  <c r="E259" i="39"/>
  <c r="X41" i="56"/>
  <c r="I338" i="5"/>
  <c r="B412" i="58"/>
  <c r="E415" i="39"/>
  <c r="I47" i="5"/>
  <c r="AA47" i="5" s="1"/>
  <c r="E124" i="39"/>
  <c r="B121" i="58"/>
  <c r="I316" i="5"/>
  <c r="E393" i="39"/>
  <c r="B390" i="58"/>
  <c r="B115" i="58"/>
  <c r="E118" i="39"/>
  <c r="I41" i="5"/>
  <c r="B127" i="58"/>
  <c r="I53" i="5"/>
  <c r="E130" i="39"/>
  <c r="E426" i="39"/>
  <c r="I349" i="5"/>
  <c r="F10" i="51"/>
  <c r="B423" i="58"/>
  <c r="B355" i="58"/>
  <c r="E358" i="39"/>
  <c r="I281" i="5"/>
  <c r="I59" i="5"/>
  <c r="E136" i="39"/>
  <c r="B133" i="58"/>
  <c r="B208" i="58"/>
  <c r="E211" i="39"/>
  <c r="I134" i="5"/>
  <c r="E260" i="39"/>
  <c r="X33" i="56"/>
  <c r="X34" i="56"/>
  <c r="X36" i="56"/>
  <c r="X35" i="56"/>
  <c r="X37" i="56"/>
  <c r="B257" i="58"/>
  <c r="I183" i="5"/>
  <c r="V43" i="56"/>
  <c r="V39" i="56"/>
  <c r="I2" i="5"/>
  <c r="V42" i="56"/>
  <c r="V40" i="56"/>
  <c r="E79" i="39"/>
  <c r="B76" i="58"/>
  <c r="V41" i="56"/>
  <c r="B446" i="58"/>
  <c r="I372" i="5"/>
  <c r="E449" i="39"/>
  <c r="I351" i="5"/>
  <c r="B425" i="58"/>
  <c r="E428" i="39"/>
  <c r="F12" i="51"/>
  <c r="B379" i="58"/>
  <c r="E382" i="39"/>
  <c r="I305" i="5"/>
  <c r="AA305" i="5" s="1"/>
  <c r="I58" i="5"/>
  <c r="E135" i="39"/>
  <c r="B132" i="58"/>
  <c r="I315" i="5"/>
  <c r="E392" i="39"/>
  <c r="B389" i="58"/>
  <c r="E305" i="39"/>
  <c r="J11" i="51"/>
  <c r="I228" i="5"/>
  <c r="B302" i="58"/>
  <c r="I140" i="5"/>
  <c r="E217" i="39"/>
  <c r="B214" i="58"/>
  <c r="B399" i="58"/>
  <c r="E402" i="39"/>
  <c r="I325" i="5"/>
  <c r="K10" i="51"/>
  <c r="B393" i="58"/>
  <c r="E396" i="39"/>
  <c r="I319" i="5"/>
  <c r="E11" i="51"/>
  <c r="B202" i="58"/>
  <c r="I128" i="5"/>
  <c r="E205" i="39"/>
  <c r="H11" i="51"/>
  <c r="E111" i="39"/>
  <c r="B108" i="58"/>
  <c r="I34" i="5"/>
  <c r="E366" i="39"/>
  <c r="I289" i="5"/>
  <c r="B363" i="58"/>
  <c r="E186" i="39"/>
  <c r="I109" i="5"/>
  <c r="B183" i="58"/>
  <c r="E333" i="39"/>
  <c r="B330" i="58"/>
  <c r="I256" i="5"/>
  <c r="I248" i="5"/>
  <c r="B322" i="58"/>
  <c r="E325" i="39"/>
  <c r="I35" i="5"/>
  <c r="E112" i="39"/>
  <c r="H12" i="51"/>
  <c r="B109" i="58"/>
  <c r="B290" i="58"/>
  <c r="I216" i="5"/>
  <c r="E293" i="39"/>
  <c r="E191" i="39"/>
  <c r="B188" i="58"/>
  <c r="I114" i="5"/>
  <c r="E200" i="39"/>
  <c r="I123" i="5"/>
  <c r="B197" i="58"/>
  <c r="E243" i="39"/>
  <c r="I166" i="5"/>
  <c r="B240" i="58"/>
  <c r="E307" i="39"/>
  <c r="J13" i="51"/>
  <c r="I230" i="5"/>
  <c r="B304" i="58"/>
  <c r="B368" i="58"/>
  <c r="I294" i="5"/>
  <c r="I10" i="51"/>
  <c r="E371" i="39"/>
  <c r="I16" i="5"/>
  <c r="E93" i="39"/>
  <c r="B90" i="58"/>
  <c r="B291" i="58"/>
  <c r="I217" i="5"/>
  <c r="E294" i="39"/>
  <c r="E216" i="39"/>
  <c r="B213" i="58"/>
  <c r="I139" i="5"/>
  <c r="W29" i="56"/>
  <c r="W31" i="56"/>
  <c r="W28" i="56"/>
  <c r="B349" i="58"/>
  <c r="E352" i="39"/>
  <c r="I275" i="5"/>
  <c r="W27" i="56"/>
  <c r="W30" i="56"/>
  <c r="I69" i="5"/>
  <c r="B143" i="58"/>
  <c r="E146" i="39"/>
  <c r="E151" i="39"/>
  <c r="B148" i="58"/>
  <c r="I74" i="5"/>
  <c r="E126" i="39"/>
  <c r="I49" i="5"/>
  <c r="B123" i="58"/>
  <c r="B335" i="58"/>
  <c r="I261" i="5"/>
  <c r="E338" i="39"/>
  <c r="I165" i="5"/>
  <c r="AB27" i="56"/>
  <c r="AB31" i="56"/>
  <c r="AB30" i="56"/>
  <c r="AB28" i="56"/>
  <c r="E242" i="39"/>
  <c r="B239" i="58"/>
  <c r="AB29" i="56"/>
  <c r="B381" i="58"/>
  <c r="E384" i="39"/>
  <c r="I307" i="5"/>
  <c r="I251" i="5"/>
  <c r="B325" i="58"/>
  <c r="E328" i="39"/>
  <c r="I359" i="5"/>
  <c r="B433" i="58"/>
  <c r="E436" i="39"/>
  <c r="H10" i="51"/>
  <c r="B107" i="58"/>
  <c r="E110" i="39"/>
  <c r="I33" i="5"/>
  <c r="I4" i="5"/>
  <c r="E81" i="39"/>
  <c r="B78" i="58"/>
  <c r="B443" i="58"/>
  <c r="E446" i="39"/>
  <c r="I369" i="5"/>
  <c r="T30" i="56"/>
  <c r="T28" i="56"/>
  <c r="E409" i="39"/>
  <c r="T29" i="56"/>
  <c r="T27" i="56"/>
  <c r="I332" i="5"/>
  <c r="B406" i="58"/>
  <c r="T31" i="56"/>
  <c r="E372" i="39"/>
  <c r="B369" i="58"/>
  <c r="I11" i="51"/>
  <c r="I295" i="5"/>
  <c r="B324" i="58"/>
  <c r="I250" i="5"/>
  <c r="E327" i="39"/>
  <c r="B293" i="58"/>
  <c r="I219" i="5"/>
  <c r="E296" i="39"/>
  <c r="B141" i="58"/>
  <c r="E144" i="39"/>
  <c r="I67" i="5"/>
  <c r="B287" i="58"/>
  <c r="E290" i="39"/>
  <c r="I213" i="5"/>
  <c r="I308" i="5"/>
  <c r="AA308" i="5" s="1"/>
  <c r="E385" i="39"/>
  <c r="B382" i="58"/>
  <c r="E356" i="39"/>
  <c r="I279" i="5"/>
  <c r="B353" i="58"/>
  <c r="B190" i="58"/>
  <c r="I116" i="5"/>
  <c r="E193" i="39"/>
  <c r="B387" i="58"/>
  <c r="I313" i="5"/>
  <c r="AA313" i="5" s="1"/>
  <c r="E390" i="39"/>
  <c r="B319" i="58"/>
  <c r="I245" i="5"/>
  <c r="E322" i="39"/>
  <c r="E145" i="39"/>
  <c r="B142" i="58"/>
  <c r="I68" i="5"/>
  <c r="V35" i="56"/>
  <c r="V37" i="56"/>
  <c r="I5" i="5"/>
  <c r="V36" i="56"/>
  <c r="V33" i="56"/>
  <c r="V34" i="56"/>
  <c r="E82" i="39"/>
  <c r="B79" i="58"/>
  <c r="I353" i="5"/>
  <c r="E430" i="39"/>
  <c r="B427" i="58"/>
  <c r="Z43" i="56"/>
  <c r="Z39" i="56"/>
  <c r="Z41" i="56"/>
  <c r="Z42" i="56"/>
  <c r="Z40" i="56"/>
  <c r="B385" i="58"/>
  <c r="E388" i="39"/>
  <c r="I311" i="5"/>
  <c r="F8" i="51"/>
  <c r="E424" i="39"/>
  <c r="B421" i="58"/>
  <c r="I347" i="5"/>
  <c r="E336" i="39"/>
  <c r="I259" i="5"/>
  <c r="B333" i="58"/>
  <c r="E398" i="39"/>
  <c r="K12" i="51"/>
  <c r="B395" i="58"/>
  <c r="I321" i="5"/>
  <c r="I13" i="51"/>
  <c r="E374" i="39"/>
  <c r="B371" i="58"/>
  <c r="I297" i="5"/>
  <c r="E131" i="39"/>
  <c r="I54" i="5"/>
  <c r="B128" i="58"/>
  <c r="H8" i="51"/>
  <c r="B105" i="58"/>
  <c r="E108" i="39"/>
  <c r="I31" i="5"/>
  <c r="B154" i="58"/>
  <c r="E157" i="39"/>
  <c r="I80" i="5"/>
  <c r="E421" i="39"/>
  <c r="I344" i="5"/>
  <c r="B418" i="58"/>
  <c r="B407" i="58"/>
  <c r="E410" i="39"/>
  <c r="I333" i="5"/>
  <c r="I142" i="5"/>
  <c r="AA142" i="5" s="1"/>
  <c r="B216" i="58"/>
  <c r="E219" i="39"/>
  <c r="B156" i="58"/>
  <c r="I82" i="5"/>
  <c r="E159" i="39"/>
  <c r="I222" i="5"/>
  <c r="B296" i="58"/>
  <c r="E299" i="39"/>
  <c r="E330" i="39"/>
  <c r="I253" i="5"/>
  <c r="B327" i="58"/>
  <c r="E100" i="39"/>
  <c r="B97" i="58"/>
  <c r="I23" i="5"/>
  <c r="E431" i="39"/>
  <c r="I354" i="5"/>
  <c r="B428" i="58"/>
  <c r="B414" i="58"/>
  <c r="I340" i="5"/>
  <c r="E417" i="39"/>
  <c r="I120" i="5"/>
  <c r="E197" i="39"/>
  <c r="B194" i="58"/>
  <c r="E12" i="51"/>
  <c r="B203" i="58"/>
  <c r="E206" i="39"/>
  <c r="I129" i="5"/>
  <c r="L9" i="51"/>
  <c r="B454" i="58"/>
  <c r="E457" i="39"/>
  <c r="I380" i="5"/>
  <c r="AA380" i="5" s="1"/>
  <c r="U31" i="56"/>
  <c r="E323" i="39"/>
  <c r="U29" i="56"/>
  <c r="I246" i="5"/>
  <c r="U28" i="56"/>
  <c r="B320" i="58"/>
  <c r="U27" i="56"/>
  <c r="U30" i="56"/>
  <c r="E189" i="39"/>
  <c r="B186" i="58"/>
  <c r="I112" i="5"/>
  <c r="E343" i="39"/>
  <c r="G10" i="51"/>
  <c r="I266" i="5"/>
  <c r="B340" i="58"/>
  <c r="B422" i="58"/>
  <c r="I348" i="5"/>
  <c r="F9" i="51"/>
  <c r="E425" i="39"/>
  <c r="B77" i="58"/>
  <c r="E80" i="39"/>
  <c r="I3" i="5"/>
  <c r="E104" i="39"/>
  <c r="B101" i="58"/>
  <c r="I27" i="5"/>
  <c r="E195" i="39"/>
  <c r="B192" i="58"/>
  <c r="I118" i="5"/>
  <c r="I56" i="5"/>
  <c r="B130" i="58"/>
  <c r="E133" i="39"/>
  <c r="B356" i="58"/>
  <c r="I282" i="5"/>
  <c r="E359" i="39"/>
  <c r="I8" i="51"/>
  <c r="B366" i="58"/>
  <c r="E369" i="39"/>
  <c r="I292" i="5"/>
  <c r="I119" i="5"/>
  <c r="E196" i="39"/>
  <c r="B193" i="58"/>
  <c r="B164" i="58"/>
  <c r="I90" i="5"/>
  <c r="AA90" i="5" s="1"/>
  <c r="E167" i="39"/>
  <c r="M9" i="51"/>
  <c r="B253" i="58"/>
  <c r="E256" i="39"/>
  <c r="N11" i="51"/>
  <c r="I179" i="5"/>
  <c r="I299" i="5"/>
  <c r="E376" i="39"/>
  <c r="B373" i="58"/>
  <c r="I215" i="5"/>
  <c r="E292" i="39"/>
  <c r="B289" i="58"/>
  <c r="E246" i="39"/>
  <c r="I169" i="5"/>
  <c r="B243" i="58"/>
  <c r="B288" i="58"/>
  <c r="E291" i="39"/>
  <c r="I214" i="5"/>
  <c r="I103" i="5"/>
  <c r="S39" i="56"/>
  <c r="B177" i="58"/>
  <c r="E180" i="39"/>
  <c r="S40" i="56"/>
  <c r="S41" i="56"/>
  <c r="S42" i="56"/>
  <c r="S43" i="56"/>
  <c r="E367" i="39"/>
  <c r="B364" i="58"/>
  <c r="I290" i="5"/>
  <c r="I137" i="5"/>
  <c r="B211" i="58"/>
  <c r="E214" i="39"/>
  <c r="I15" i="5"/>
  <c r="B89" i="58"/>
  <c r="E92" i="39"/>
  <c r="I205" i="5"/>
  <c r="E282" i="39"/>
  <c r="B279" i="58"/>
  <c r="E429" i="39"/>
  <c r="B426" i="58"/>
  <c r="F13" i="51"/>
  <c r="I352" i="5"/>
  <c r="AB41" i="56"/>
  <c r="AB39" i="56"/>
  <c r="B232" i="58"/>
  <c r="E235" i="39"/>
  <c r="AB40" i="56"/>
  <c r="AB42" i="56"/>
  <c r="AB43" i="56"/>
  <c r="I158" i="5"/>
  <c r="B238" i="58"/>
  <c r="I164" i="5"/>
  <c r="E241" i="39"/>
  <c r="B150" i="58"/>
  <c r="E153" i="39"/>
  <c r="I76" i="5"/>
  <c r="B420" i="58"/>
  <c r="I346" i="5"/>
  <c r="E423" i="39"/>
  <c r="I190" i="5"/>
  <c r="E267" i="39"/>
  <c r="B264" i="58"/>
  <c r="B384" i="58"/>
  <c r="E387" i="39"/>
  <c r="I310" i="5"/>
  <c r="B86" i="58"/>
  <c r="I12" i="5"/>
  <c r="E89" i="39"/>
  <c r="B106" i="58"/>
  <c r="E109" i="39"/>
  <c r="H9" i="51"/>
  <c r="I32" i="5"/>
  <c r="M11" i="51"/>
  <c r="I92" i="5"/>
  <c r="E169" i="39"/>
  <c r="B166" i="58"/>
  <c r="B284" i="58"/>
  <c r="E287" i="39"/>
  <c r="I210" i="5"/>
  <c r="B221" i="58"/>
  <c r="I147" i="5"/>
  <c r="E224" i="39"/>
  <c r="E132" i="39"/>
  <c r="I55" i="5"/>
  <c r="B129" i="58"/>
  <c r="E10" i="51"/>
  <c r="B201" i="58"/>
  <c r="I127" i="5"/>
  <c r="E204" i="39"/>
  <c r="B126" i="58"/>
  <c r="I52" i="5"/>
  <c r="E129" i="39"/>
  <c r="B352" i="58"/>
  <c r="E355" i="39"/>
  <c r="I278" i="5"/>
  <c r="B270" i="58"/>
  <c r="I196" i="5"/>
  <c r="E273" i="39"/>
  <c r="E422" i="39"/>
  <c r="I345" i="5"/>
  <c r="B419" i="58"/>
  <c r="B92" i="58"/>
  <c r="E95" i="39"/>
  <c r="I18" i="5"/>
  <c r="E458" i="39"/>
  <c r="B455" i="58"/>
  <c r="I381" i="5"/>
  <c r="L10" i="51"/>
  <c r="I186" i="5"/>
  <c r="E263" i="39"/>
  <c r="B260" i="58"/>
  <c r="E334" i="39"/>
  <c r="B331" i="58"/>
  <c r="I257" i="5"/>
  <c r="E298" i="39"/>
  <c r="I221" i="5"/>
  <c r="B295" i="58"/>
  <c r="E187" i="39"/>
  <c r="B184" i="58"/>
  <c r="I110" i="5"/>
  <c r="I83" i="5"/>
  <c r="B157" i="58"/>
  <c r="E160" i="39"/>
  <c r="I378" i="5"/>
  <c r="B452" i="58"/>
  <c r="E455" i="39"/>
  <c r="E121" i="39"/>
  <c r="I44" i="5"/>
  <c r="AA31" i="56"/>
  <c r="AA28" i="56"/>
  <c r="AA30" i="56"/>
  <c r="B118" i="58"/>
  <c r="AA27" i="56"/>
  <c r="AA29" i="56"/>
  <c r="B198" i="58"/>
  <c r="E201" i="39"/>
  <c r="I124" i="5"/>
  <c r="B227" i="58"/>
  <c r="I153" i="5"/>
  <c r="E230" i="39"/>
  <c r="I85" i="5"/>
  <c r="B159" i="58"/>
  <c r="E162" i="39"/>
  <c r="E142" i="39"/>
  <c r="B139" i="58"/>
  <c r="I65" i="5"/>
  <c r="B342" i="58"/>
  <c r="G12" i="51"/>
  <c r="E345" i="39"/>
  <c r="I268" i="5"/>
  <c r="E138" i="39"/>
  <c r="I61" i="5"/>
  <c r="B135" i="58"/>
  <c r="E289" i="39"/>
  <c r="I212" i="5"/>
  <c r="B286" i="58"/>
  <c r="B224" i="58"/>
  <c r="E227" i="39"/>
  <c r="I150" i="5"/>
  <c r="E226" i="39"/>
  <c r="B223" i="58"/>
  <c r="I149" i="5"/>
  <c r="E379" i="39"/>
  <c r="I302" i="5"/>
  <c r="B376" i="58"/>
  <c r="V31" i="56"/>
  <c r="V30" i="56"/>
  <c r="V28" i="56"/>
  <c r="I10" i="5"/>
  <c r="V27" i="56"/>
  <c r="E87" i="39"/>
  <c r="B84" i="58"/>
  <c r="V29" i="56"/>
  <c r="E443" i="39"/>
  <c r="I366" i="5"/>
  <c r="AA366" i="5" s="1"/>
  <c r="B440" i="58"/>
  <c r="B102" i="58"/>
  <c r="I28" i="5"/>
  <c r="E105" i="39"/>
  <c r="I191" i="5"/>
  <c r="B265" i="58"/>
  <c r="E268" i="39"/>
  <c r="I89" i="5"/>
  <c r="E166" i="39"/>
  <c r="B163" i="58"/>
  <c r="M8" i="51"/>
  <c r="I75" i="5"/>
  <c r="B149" i="58"/>
  <c r="E152" i="39"/>
  <c r="U35" i="56"/>
  <c r="U37" i="56"/>
  <c r="I240" i="5"/>
  <c r="U34" i="56"/>
  <c r="B314" i="58"/>
  <c r="E317" i="39"/>
  <c r="U36" i="56"/>
  <c r="U33" i="56"/>
  <c r="E127" i="39"/>
  <c r="I50" i="5"/>
  <c r="B124" i="58"/>
  <c r="I135" i="5"/>
  <c r="R33" i="56"/>
  <c r="R35" i="56"/>
  <c r="R34" i="56"/>
  <c r="R36" i="56"/>
  <c r="B209" i="58"/>
  <c r="E212" i="39"/>
  <c r="R37" i="56"/>
  <c r="B434" i="58"/>
  <c r="E437" i="39"/>
  <c r="I360" i="5"/>
  <c r="E265" i="39"/>
  <c r="I188" i="5"/>
  <c r="B262" i="58"/>
  <c r="E365" i="39"/>
  <c r="B362" i="58"/>
  <c r="I288" i="5"/>
  <c r="R42" i="56"/>
  <c r="R43" i="56"/>
  <c r="B205" i="58"/>
  <c r="R41" i="56"/>
  <c r="R40" i="56"/>
  <c r="R39" i="56"/>
  <c r="E208" i="39"/>
  <c r="I131" i="5"/>
  <c r="E220" i="39"/>
  <c r="B217" i="58"/>
  <c r="I143" i="5"/>
  <c r="B222" i="58"/>
  <c r="E225" i="39"/>
  <c r="I148" i="5"/>
  <c r="I155" i="5"/>
  <c r="E232" i="39"/>
  <c r="B229" i="58"/>
  <c r="E340" i="39"/>
  <c r="I263" i="5"/>
  <c r="B337" i="58"/>
  <c r="B445" i="58"/>
  <c r="I371" i="5"/>
  <c r="E448" i="39"/>
  <c r="B343" i="58"/>
  <c r="G13" i="51"/>
  <c r="I269" i="5"/>
  <c r="E346" i="39"/>
  <c r="I187" i="5"/>
  <c r="B261" i="58"/>
  <c r="E264" i="39"/>
  <c r="I226" i="5"/>
  <c r="J9" i="51"/>
  <c r="E303" i="39"/>
  <c r="B300" i="58"/>
  <c r="E401" i="39"/>
  <c r="I324" i="5"/>
  <c r="B398" i="58"/>
  <c r="B405" i="58"/>
  <c r="E408" i="39"/>
  <c r="I331" i="5"/>
  <c r="I9" i="51"/>
  <c r="I293" i="5"/>
  <c r="B367" i="58"/>
  <c r="E370" i="39"/>
  <c r="E316" i="39"/>
  <c r="U43" i="56"/>
  <c r="U41" i="56"/>
  <c r="U40" i="56"/>
  <c r="U39" i="56"/>
  <c r="B313" i="58"/>
  <c r="U42" i="56"/>
  <c r="I239" i="5"/>
  <c r="I306" i="5"/>
  <c r="AA306" i="5" s="1"/>
  <c r="E383" i="39"/>
  <c r="B380" i="58"/>
  <c r="E149" i="39"/>
  <c r="I72" i="5"/>
  <c r="B146" i="58"/>
  <c r="B88" i="58"/>
  <c r="E91" i="39"/>
  <c r="I14" i="5"/>
  <c r="I296" i="5"/>
  <c r="I12" i="51"/>
  <c r="B370" i="58"/>
  <c r="E373" i="39"/>
  <c r="I48" i="5"/>
  <c r="B122" i="58"/>
  <c r="E125" i="39"/>
  <c r="E137" i="39"/>
  <c r="B134" i="58"/>
  <c r="I60" i="5"/>
  <c r="E434" i="39"/>
  <c r="B431" i="58"/>
  <c r="I357" i="5"/>
  <c r="B147" i="58"/>
  <c r="I73" i="5"/>
  <c r="E150" i="39"/>
  <c r="I291" i="5"/>
  <c r="B365" i="58"/>
  <c r="E368" i="39"/>
  <c r="B372" i="58"/>
  <c r="I298" i="5"/>
  <c r="Y43" i="56"/>
  <c r="Y42" i="56"/>
  <c r="Y39" i="56"/>
  <c r="E375" i="39"/>
  <c r="Y40" i="56"/>
  <c r="Y41" i="56"/>
  <c r="I225" i="5"/>
  <c r="J8" i="51"/>
  <c r="E302" i="39"/>
  <c r="B299" i="58"/>
  <c r="M13" i="51"/>
  <c r="I94" i="5"/>
  <c r="B168" i="58"/>
  <c r="E171" i="39"/>
  <c r="B100" i="58"/>
  <c r="I26" i="5"/>
  <c r="E103" i="39"/>
  <c r="I174" i="5"/>
  <c r="B248" i="58"/>
  <c r="E251" i="39"/>
  <c r="B439" i="58"/>
  <c r="E442" i="39"/>
  <c r="I365" i="5"/>
  <c r="I29" i="5"/>
  <c r="B103" i="58"/>
  <c r="E106" i="39"/>
  <c r="E250" i="39"/>
  <c r="I173" i="5"/>
  <c r="B247" i="58"/>
  <c r="B181" i="58"/>
  <c r="I107" i="5"/>
  <c r="E184" i="39"/>
  <c r="B272" i="58"/>
  <c r="I198" i="5"/>
  <c r="E275" i="39"/>
  <c r="I339" i="5"/>
  <c r="E416" i="39"/>
  <c r="B413" i="58"/>
  <c r="E274" i="39"/>
  <c r="B271" i="58"/>
  <c r="I197" i="5"/>
  <c r="I303" i="5"/>
  <c r="Y29" i="56"/>
  <c r="E380" i="39"/>
  <c r="Y30" i="56"/>
  <c r="Y27" i="56"/>
  <c r="Y31" i="56"/>
  <c r="B377" i="58"/>
  <c r="Y28" i="56"/>
  <c r="I376" i="5"/>
  <c r="E453" i="39"/>
  <c r="B450" i="58"/>
  <c r="B160" i="58"/>
  <c r="E163" i="39"/>
  <c r="I86" i="5"/>
  <c r="B167" i="58"/>
  <c r="E170" i="39"/>
  <c r="I93" i="5"/>
  <c r="M12" i="51"/>
  <c r="E215" i="39"/>
  <c r="R29" i="56"/>
  <c r="R28" i="56"/>
  <c r="R30" i="56"/>
  <c r="R27" i="56"/>
  <c r="B212" i="58"/>
  <c r="R31" i="56"/>
  <c r="I138" i="5"/>
  <c r="B245" i="58"/>
  <c r="I171" i="5"/>
  <c r="E248" i="39"/>
  <c r="I40" i="5"/>
  <c r="E117" i="39"/>
  <c r="B114" i="58"/>
  <c r="B283" i="58"/>
  <c r="E286" i="39"/>
  <c r="I209" i="5"/>
  <c r="I145" i="5"/>
  <c r="E222" i="39"/>
  <c r="B219" i="58"/>
  <c r="E98" i="39"/>
  <c r="B95" i="58"/>
  <c r="I21" i="5"/>
  <c r="B282" i="58"/>
  <c r="E285" i="39"/>
  <c r="I208" i="5"/>
  <c r="E8" i="51"/>
  <c r="I125" i="5"/>
  <c r="E202" i="39"/>
  <c r="B199" i="58"/>
  <c r="I368" i="5"/>
  <c r="E445" i="39"/>
  <c r="B442" i="58"/>
  <c r="B244" i="58"/>
  <c r="E247" i="39"/>
  <c r="I170" i="5"/>
  <c r="B416" i="58"/>
  <c r="E419" i="39"/>
  <c r="I342" i="5"/>
  <c r="B273" i="58"/>
  <c r="I199" i="5"/>
  <c r="E276" i="39"/>
  <c r="E351" i="39"/>
  <c r="B348" i="58"/>
  <c r="I274" i="5"/>
  <c r="E452" i="39"/>
  <c r="I375" i="5"/>
  <c r="B449" i="58"/>
  <c r="B317" i="58"/>
  <c r="I243" i="5"/>
  <c r="E320" i="39"/>
  <c r="Z33" i="56"/>
  <c r="Z34" i="56"/>
  <c r="I355" i="5"/>
  <c r="Z36" i="56"/>
  <c r="Z37" i="56"/>
  <c r="E432" i="39"/>
  <c r="Z35" i="56"/>
  <c r="B429" i="58"/>
  <c r="I277" i="5"/>
  <c r="B351" i="58"/>
  <c r="E354" i="39"/>
  <c r="I204" i="5"/>
  <c r="E281" i="39"/>
  <c r="B278" i="58"/>
  <c r="I341" i="5"/>
  <c r="B415" i="58"/>
  <c r="E418" i="39"/>
  <c r="B294" i="58"/>
  <c r="I220" i="5"/>
  <c r="E297" i="39"/>
  <c r="I66" i="5"/>
  <c r="E143" i="39"/>
  <c r="B140" i="58"/>
  <c r="B285" i="58"/>
  <c r="I211" i="5"/>
  <c r="E288" i="39"/>
  <c r="I70" i="5"/>
  <c r="AA70" i="5" s="1"/>
  <c r="E147" i="39"/>
  <c r="B144" i="58"/>
  <c r="H13" i="51"/>
  <c r="I36" i="5"/>
  <c r="B110" i="58"/>
  <c r="E113" i="39"/>
  <c r="B378" i="58"/>
  <c r="E381" i="39"/>
  <c r="I304" i="5"/>
  <c r="E9" i="51"/>
  <c r="B200" i="58"/>
  <c r="E203" i="39"/>
  <c r="I126" i="5"/>
  <c r="B94" i="58"/>
  <c r="E97" i="39"/>
  <c r="I20" i="5"/>
  <c r="E266" i="39"/>
  <c r="B263" i="58"/>
  <c r="I189" i="5"/>
  <c r="I192" i="5"/>
  <c r="B266" i="58"/>
  <c r="E269" i="39"/>
  <c r="B347" i="58"/>
  <c r="E350" i="39"/>
  <c r="I273" i="5"/>
  <c r="I88" i="5"/>
  <c r="E165" i="39"/>
  <c r="B162" i="58"/>
  <c r="I223" i="5"/>
  <c r="E300" i="39"/>
  <c r="B297" i="58"/>
  <c r="K13" i="51"/>
  <c r="I322" i="5"/>
  <c r="B396" i="58"/>
  <c r="E399" i="39"/>
  <c r="B165" i="58"/>
  <c r="M10" i="51"/>
  <c r="I91" i="5"/>
  <c r="E168" i="39"/>
  <c r="B161" i="58"/>
  <c r="E164" i="39"/>
  <c r="I87" i="5"/>
  <c r="I249" i="5"/>
  <c r="B323" i="58"/>
  <c r="E326" i="39"/>
  <c r="B394" i="58"/>
  <c r="E397" i="39"/>
  <c r="K11" i="51"/>
  <c r="I320" i="5"/>
  <c r="I71" i="5"/>
  <c r="E148" i="39"/>
  <c r="B145" i="58"/>
  <c r="B338" i="58"/>
  <c r="I264" i="5"/>
  <c r="G8" i="51"/>
  <c r="E341" i="39"/>
  <c r="I178" i="5"/>
  <c r="E255" i="39"/>
  <c r="B252" i="58"/>
  <c r="N10" i="51"/>
  <c r="L11" i="51"/>
  <c r="E459" i="39"/>
  <c r="I382" i="5"/>
  <c r="B456" i="58"/>
  <c r="K8" i="51"/>
  <c r="I317" i="5"/>
  <c r="E394" i="39"/>
  <c r="B391" i="58"/>
  <c r="I244" i="5"/>
  <c r="B318" i="58"/>
  <c r="E321" i="39"/>
  <c r="B83" i="58"/>
  <c r="E86" i="39"/>
  <c r="I9" i="5"/>
  <c r="I106" i="5"/>
  <c r="B180" i="58"/>
  <c r="E183" i="39"/>
  <c r="B458" i="58"/>
  <c r="I384" i="5"/>
  <c r="E461" i="39"/>
  <c r="L13" i="51"/>
  <c r="B234" i="58"/>
  <c r="E237" i="39"/>
  <c r="I160" i="5"/>
  <c r="B151" i="58"/>
  <c r="I77" i="5"/>
  <c r="E154" i="39"/>
  <c r="I309" i="5"/>
  <c r="E386" i="39"/>
  <c r="B383" i="58"/>
  <c r="E339" i="39"/>
  <c r="I262" i="5"/>
  <c r="B336" i="58"/>
  <c r="I115" i="5"/>
  <c r="E192" i="39"/>
  <c r="B189" i="58"/>
  <c r="E107" i="39"/>
  <c r="I30" i="5"/>
  <c r="B104" i="58"/>
  <c r="B182" i="58"/>
  <c r="E185" i="39"/>
  <c r="S28" i="56"/>
  <c r="S30" i="56"/>
  <c r="I108" i="5"/>
  <c r="S27" i="56"/>
  <c r="S29" i="56"/>
  <c r="S31" i="56"/>
  <c r="E405" i="39"/>
  <c r="I328" i="5"/>
  <c r="B402" i="58"/>
  <c r="E240" i="39"/>
  <c r="B237" i="58"/>
  <c r="I163" i="5"/>
  <c r="K9" i="51"/>
  <c r="B392" i="58"/>
  <c r="E395" i="39"/>
  <c r="I318" i="5"/>
  <c r="AA318" i="5" s="1"/>
  <c r="E440" i="39"/>
  <c r="I363" i="5"/>
  <c r="B437" i="58"/>
  <c r="T37" i="56"/>
  <c r="T33" i="56"/>
  <c r="I327" i="5"/>
  <c r="T36" i="56"/>
  <c r="T34" i="56"/>
  <c r="B401" i="58"/>
  <c r="E404" i="39"/>
  <c r="T35" i="56"/>
  <c r="B196" i="58"/>
  <c r="I122" i="5"/>
  <c r="E199" i="39"/>
  <c r="E239" i="39"/>
  <c r="I162" i="5"/>
  <c r="B236" i="58"/>
  <c r="E279" i="39"/>
  <c r="I202" i="5"/>
  <c r="B276" i="58"/>
  <c r="E277" i="39"/>
  <c r="B274" i="58"/>
  <c r="I200" i="5"/>
  <c r="B131" i="58"/>
  <c r="I57" i="5"/>
  <c r="E134" i="39"/>
  <c r="E249" i="39"/>
  <c r="B246" i="58"/>
  <c r="I172" i="5"/>
  <c r="I254" i="5"/>
  <c r="E331" i="39"/>
  <c r="B328" i="58"/>
  <c r="B453" i="58"/>
  <c r="E456" i="39"/>
  <c r="I379" i="5"/>
  <c r="L8" i="51"/>
  <c r="B80" i="58"/>
  <c r="E83" i="39"/>
  <c r="I6" i="5"/>
  <c r="E337" i="39"/>
  <c r="B334" i="58"/>
  <c r="I260" i="5"/>
  <c r="B254" i="58"/>
  <c r="N12" i="51"/>
  <c r="E257" i="39"/>
  <c r="I180" i="5"/>
  <c r="I284" i="5"/>
  <c r="B358" i="58"/>
  <c r="E361" i="39"/>
  <c r="B218" i="58"/>
  <c r="I144" i="5"/>
  <c r="E221" i="39"/>
  <c r="I25" i="5"/>
  <c r="E102" i="39"/>
  <c r="B99" i="58"/>
  <c r="I167" i="5"/>
  <c r="B241" i="58"/>
  <c r="E244" i="39"/>
  <c r="AA39" i="56"/>
  <c r="B111" i="58"/>
  <c r="E114" i="39"/>
  <c r="AA43" i="56"/>
  <c r="AA40" i="56"/>
  <c r="I37" i="5"/>
  <c r="AA41" i="56"/>
  <c r="AA42" i="56"/>
  <c r="B269" i="58"/>
  <c r="E272" i="39"/>
  <c r="I195" i="5"/>
  <c r="B207" i="58"/>
  <c r="E210" i="39"/>
  <c r="I133" i="5"/>
  <c r="B436" i="58"/>
  <c r="E439" i="39"/>
  <c r="I362" i="5"/>
  <c r="S35" i="56"/>
  <c r="S36" i="56"/>
  <c r="S37" i="56"/>
  <c r="I104" i="5"/>
  <c r="B178" i="58"/>
  <c r="E181" i="39"/>
  <c r="S34" i="56"/>
  <c r="S33" i="56"/>
  <c r="I224" i="5"/>
  <c r="B298" i="58"/>
  <c r="E301" i="39"/>
  <c r="AA104" i="5" l="1"/>
  <c r="E209" i="60"/>
  <c r="G209" i="60" s="1"/>
  <c r="M14" i="5"/>
  <c r="T34" i="5" s="1"/>
  <c r="M16" i="5"/>
  <c r="E211" i="60"/>
  <c r="G211" i="60" s="1"/>
  <c r="E229" i="49"/>
  <c r="G229" i="49" s="1"/>
  <c r="E210" i="60"/>
  <c r="G210" i="60" s="1"/>
  <c r="E513" i="60"/>
  <c r="G513" i="60" s="1"/>
  <c r="E514" i="60"/>
  <c r="G514" i="60" s="1"/>
  <c r="E515" i="60"/>
  <c r="G515" i="60" s="1"/>
  <c r="E516" i="60"/>
  <c r="G516" i="60" s="1"/>
  <c r="AA243" i="5"/>
  <c r="AA208" i="5"/>
  <c r="E431" i="49"/>
  <c r="G431" i="49" s="1"/>
  <c r="E298" i="60"/>
  <c r="G298" i="60" s="1"/>
  <c r="E299" i="60"/>
  <c r="G299" i="60" s="1"/>
  <c r="AA145" i="5"/>
  <c r="AA171" i="5"/>
  <c r="E344" i="60"/>
  <c r="G344" i="60" s="1"/>
  <c r="E308" i="49"/>
  <c r="G308" i="49" s="1"/>
  <c r="E307" i="49"/>
  <c r="G307" i="49" s="1"/>
  <c r="E309" i="49"/>
  <c r="G309" i="49" s="1"/>
  <c r="E310" i="49"/>
  <c r="G310" i="49" s="1"/>
  <c r="E129" i="49"/>
  <c r="G129" i="49" s="1"/>
  <c r="E130" i="49"/>
  <c r="G130" i="49" s="1"/>
  <c r="E131" i="49"/>
  <c r="G131" i="49" s="1"/>
  <c r="E131" i="60"/>
  <c r="G131" i="60" s="1"/>
  <c r="E130" i="60"/>
  <c r="G130" i="60" s="1"/>
  <c r="AA60" i="5"/>
  <c r="L10" i="5"/>
  <c r="E485" i="60"/>
  <c r="G485" i="60" s="1"/>
  <c r="AA226" i="5"/>
  <c r="E331" i="60"/>
  <c r="G331" i="60" s="1"/>
  <c r="E328" i="60"/>
  <c r="G328" i="60" s="1"/>
  <c r="AA155" i="5"/>
  <c r="E330" i="60"/>
  <c r="G330" i="60" s="1"/>
  <c r="E327" i="60"/>
  <c r="G327" i="60" s="1"/>
  <c r="E332" i="60"/>
  <c r="G332" i="60" s="1"/>
  <c r="E329" i="60"/>
  <c r="G329" i="60" s="1"/>
  <c r="M36" i="5"/>
  <c r="M34" i="5"/>
  <c r="T36" i="5" s="1"/>
  <c r="E527" i="49"/>
  <c r="G527" i="49" s="1"/>
  <c r="E528" i="49"/>
  <c r="G528" i="49" s="1"/>
  <c r="E507" i="60"/>
  <c r="G507" i="60" s="1"/>
  <c r="E529" i="49"/>
  <c r="G529" i="49" s="1"/>
  <c r="E508" i="60"/>
  <c r="G508" i="60" s="1"/>
  <c r="AA240" i="5"/>
  <c r="E132" i="60"/>
  <c r="G132" i="60" s="1"/>
  <c r="AA61" i="5"/>
  <c r="E133" i="49"/>
  <c r="G133" i="49" s="1"/>
  <c r="E135" i="49"/>
  <c r="G135" i="49" s="1"/>
  <c r="E134" i="60"/>
  <c r="G134" i="60" s="1"/>
  <c r="E132" i="49"/>
  <c r="G132" i="49" s="1"/>
  <c r="E134" i="49"/>
  <c r="G134" i="49" s="1"/>
  <c r="E133" i="60"/>
  <c r="G133" i="60" s="1"/>
  <c r="N7" i="5"/>
  <c r="U42" i="5" s="1"/>
  <c r="N8" i="5"/>
  <c r="E98" i="60"/>
  <c r="G98" i="60" s="1"/>
  <c r="AA44" i="5"/>
  <c r="E235" i="49"/>
  <c r="G235" i="49" s="1"/>
  <c r="E236" i="49"/>
  <c r="G236" i="49" s="1"/>
  <c r="E224" i="60"/>
  <c r="G224" i="60" s="1"/>
  <c r="E225" i="60"/>
  <c r="G225" i="60" s="1"/>
  <c r="E237" i="49"/>
  <c r="G237" i="49" s="1"/>
  <c r="AA110" i="5"/>
  <c r="E238" i="49"/>
  <c r="G238" i="49" s="1"/>
  <c r="E35" i="60"/>
  <c r="G35" i="60" s="1"/>
  <c r="E42" i="49"/>
  <c r="G42" i="49" s="1"/>
  <c r="AA18" i="5"/>
  <c r="E38" i="49"/>
  <c r="G38" i="49" s="1"/>
  <c r="E33" i="60"/>
  <c r="E36" i="60"/>
  <c r="G36" i="60" s="1"/>
  <c r="E39" i="49"/>
  <c r="G39" i="49" s="1"/>
  <c r="E40" i="49"/>
  <c r="E34" i="60"/>
  <c r="G34" i="60" s="1"/>
  <c r="E37" i="60"/>
  <c r="G37" i="60" s="1"/>
  <c r="E41" i="49"/>
  <c r="G41" i="49" s="1"/>
  <c r="E38" i="60"/>
  <c r="G38" i="60" s="1"/>
  <c r="E37" i="49"/>
  <c r="G37" i="49" s="1"/>
  <c r="E259" i="60"/>
  <c r="G259" i="60" s="1"/>
  <c r="E274" i="49"/>
  <c r="G274" i="49" s="1"/>
  <c r="N19" i="5"/>
  <c r="E260" i="60"/>
  <c r="G260" i="60" s="1"/>
  <c r="E258" i="60"/>
  <c r="G258" i="60" s="1"/>
  <c r="AA127" i="5"/>
  <c r="E275" i="49"/>
  <c r="G275" i="49" s="1"/>
  <c r="E82" i="60"/>
  <c r="G82" i="60" s="1"/>
  <c r="AA32" i="5"/>
  <c r="E81" i="60"/>
  <c r="G81" i="60" s="1"/>
  <c r="E80" i="60"/>
  <c r="G80" i="60" s="1"/>
  <c r="E79" i="60"/>
  <c r="G79" i="60" s="1"/>
  <c r="E165" i="49"/>
  <c r="G165" i="49" s="1"/>
  <c r="AA76" i="5"/>
  <c r="N11" i="5"/>
  <c r="E166" i="49"/>
  <c r="G166" i="49" s="1"/>
  <c r="E151" i="60"/>
  <c r="G151" i="60" s="1"/>
  <c r="M17" i="5"/>
  <c r="E230" i="60"/>
  <c r="G230" i="60" s="1"/>
  <c r="E241" i="49"/>
  <c r="G241" i="49" s="1"/>
  <c r="E232" i="60"/>
  <c r="G232" i="60" s="1"/>
  <c r="AA112" i="5"/>
  <c r="E231" i="60"/>
  <c r="G231" i="60" s="1"/>
  <c r="E542" i="60"/>
  <c r="G542" i="60" s="1"/>
  <c r="M37" i="5"/>
  <c r="E545" i="49"/>
  <c r="G545" i="49" s="1"/>
  <c r="E542" i="49"/>
  <c r="G542" i="49" s="1"/>
  <c r="E543" i="60"/>
  <c r="G543" i="60" s="1"/>
  <c r="E546" i="49"/>
  <c r="G546" i="49" s="1"/>
  <c r="E544" i="60"/>
  <c r="G544" i="60" s="1"/>
  <c r="E544" i="49"/>
  <c r="G544" i="49" s="1"/>
  <c r="E543" i="49"/>
  <c r="G543" i="49" s="1"/>
  <c r="AA253" i="5"/>
  <c r="E163" i="49"/>
  <c r="G163" i="49" s="1"/>
  <c r="E149" i="60"/>
  <c r="G149" i="60" s="1"/>
  <c r="AA74" i="5"/>
  <c r="AA275" i="5"/>
  <c r="E585" i="49"/>
  <c r="G585" i="49" s="1"/>
  <c r="N41" i="5"/>
  <c r="N40" i="5"/>
  <c r="U38" i="5" s="1"/>
  <c r="L26" i="5"/>
  <c r="AA166" i="5"/>
  <c r="E280" i="49"/>
  <c r="G280" i="49" s="1"/>
  <c r="AA128" i="5"/>
  <c r="E283" i="49"/>
  <c r="G283" i="49" s="1"/>
  <c r="E282" i="49"/>
  <c r="G282" i="49" s="1"/>
  <c r="E277" i="49"/>
  <c r="G277" i="49" s="1"/>
  <c r="E276" i="49"/>
  <c r="G276" i="49" s="1"/>
  <c r="E278" i="49"/>
  <c r="G278" i="49" s="1"/>
  <c r="E279" i="49"/>
  <c r="G279" i="49" s="1"/>
  <c r="E281" i="49"/>
  <c r="G281" i="49" s="1"/>
  <c r="E378" i="60"/>
  <c r="G378" i="60" s="1"/>
  <c r="E377" i="60"/>
  <c r="G377" i="60" s="1"/>
  <c r="E357" i="49"/>
  <c r="G357" i="49" s="1"/>
  <c r="AA193" i="5"/>
  <c r="E40" i="60"/>
  <c r="G40" i="60" s="1"/>
  <c r="E41" i="60"/>
  <c r="G41" i="60" s="1"/>
  <c r="E39" i="60"/>
  <c r="G39" i="60" s="1"/>
  <c r="E43" i="49"/>
  <c r="G43" i="49" s="1"/>
  <c r="AA19" i="5"/>
  <c r="N4" i="5"/>
  <c r="E512" i="60"/>
  <c r="G512" i="60" s="1"/>
  <c r="E511" i="60"/>
  <c r="G511" i="60" s="1"/>
  <c r="AA242" i="5"/>
  <c r="E750" i="60"/>
  <c r="G750" i="60" s="1"/>
  <c r="E749" i="60"/>
  <c r="G749" i="60" s="1"/>
  <c r="E711" i="49"/>
  <c r="G711" i="49" s="1"/>
  <c r="E712" i="49"/>
  <c r="G712" i="49" s="1"/>
  <c r="AA336" i="5"/>
  <c r="L51" i="5"/>
  <c r="M43" i="5"/>
  <c r="E608" i="49"/>
  <c r="G608" i="49" s="1"/>
  <c r="AA285" i="5"/>
  <c r="E596" i="60"/>
  <c r="G596" i="60" s="1"/>
  <c r="E593" i="60"/>
  <c r="G593" i="60" s="1"/>
  <c r="E595" i="60"/>
  <c r="G595" i="60" s="1"/>
  <c r="E598" i="60"/>
  <c r="G598" i="60" s="1"/>
  <c r="E594" i="60"/>
  <c r="G594" i="60" s="1"/>
  <c r="E592" i="60"/>
  <c r="G592" i="60" s="1"/>
  <c r="E586" i="49"/>
  <c r="G586" i="49" s="1"/>
  <c r="E587" i="49"/>
  <c r="G587" i="49" s="1"/>
  <c r="E597" i="60"/>
  <c r="G597" i="60" s="1"/>
  <c r="E600" i="60"/>
  <c r="G600" i="60" s="1"/>
  <c r="E599" i="60"/>
  <c r="G599" i="60" s="1"/>
  <c r="AA276" i="5"/>
  <c r="L42" i="5"/>
  <c r="E136" i="49"/>
  <c r="G136" i="49" s="1"/>
  <c r="M10" i="5"/>
  <c r="AA62" i="5"/>
  <c r="E135" i="60"/>
  <c r="G135" i="60" s="1"/>
  <c r="E136" i="60"/>
  <c r="G136" i="60" s="1"/>
  <c r="E137" i="49"/>
  <c r="G137" i="49" s="1"/>
  <c r="E357" i="60"/>
  <c r="G357" i="60" s="1"/>
  <c r="E359" i="60"/>
  <c r="G359" i="60" s="1"/>
  <c r="E358" i="60"/>
  <c r="G358" i="60" s="1"/>
  <c r="AA185" i="5"/>
  <c r="E335" i="49"/>
  <c r="G335" i="49" s="1"/>
  <c r="E337" i="49"/>
  <c r="G337" i="49" s="1"/>
  <c r="E338" i="49"/>
  <c r="G338" i="49" s="1"/>
  <c r="E336" i="49"/>
  <c r="G336" i="49" s="1"/>
  <c r="N29" i="5"/>
  <c r="N28" i="5"/>
  <c r="U39" i="5" s="1"/>
  <c r="AA8" i="5"/>
  <c r="E13" i="49"/>
  <c r="G13" i="49" s="1"/>
  <c r="E550" i="60"/>
  <c r="G550" i="60" s="1"/>
  <c r="E549" i="60"/>
  <c r="G549" i="60" s="1"/>
  <c r="E548" i="60"/>
  <c r="G548" i="60" s="1"/>
  <c r="E550" i="49"/>
  <c r="G550" i="49" s="1"/>
  <c r="E552" i="49"/>
  <c r="G552" i="49" s="1"/>
  <c r="E551" i="49"/>
  <c r="G551" i="49" s="1"/>
  <c r="AA255" i="5"/>
  <c r="E577" i="60"/>
  <c r="G577" i="60" s="1"/>
  <c r="AA265" i="5"/>
  <c r="E504" i="49"/>
  <c r="G504" i="49" s="1"/>
  <c r="E503" i="49"/>
  <c r="G503" i="49" s="1"/>
  <c r="E488" i="60"/>
  <c r="G488" i="60" s="1"/>
  <c r="E489" i="60"/>
  <c r="G489" i="60" s="1"/>
  <c r="E490" i="60"/>
  <c r="G490" i="60" s="1"/>
  <c r="AA229" i="5"/>
  <c r="E268" i="60"/>
  <c r="G268" i="60" s="1"/>
  <c r="AA133" i="5"/>
  <c r="AA37" i="5"/>
  <c r="E87" i="60"/>
  <c r="G87" i="60" s="1"/>
  <c r="L7" i="5"/>
  <c r="S42" i="5" s="1"/>
  <c r="L8" i="5"/>
  <c r="E302" i="49"/>
  <c r="G302" i="49" s="1"/>
  <c r="AA167" i="5"/>
  <c r="M26" i="5"/>
  <c r="E293" i="49"/>
  <c r="G293" i="49" s="1"/>
  <c r="E295" i="49"/>
  <c r="G295" i="49" s="1"/>
  <c r="E294" i="49"/>
  <c r="G294" i="49" s="1"/>
  <c r="AA162" i="5"/>
  <c r="E607" i="49"/>
  <c r="G607" i="49" s="1"/>
  <c r="E639" i="60"/>
  <c r="G639" i="60" s="1"/>
  <c r="E606" i="49"/>
  <c r="G606" i="49" s="1"/>
  <c r="AA284" i="5"/>
  <c r="E7" i="60"/>
  <c r="G7" i="60" s="1"/>
  <c r="AA6" i="5"/>
  <c r="E10" i="49"/>
  <c r="G10" i="49" s="1"/>
  <c r="E9" i="49"/>
  <c r="G9" i="49" s="1"/>
  <c r="E403" i="60"/>
  <c r="G403" i="60" s="1"/>
  <c r="E402" i="60"/>
  <c r="G402" i="60" s="1"/>
  <c r="E382" i="49"/>
  <c r="G382" i="49" s="1"/>
  <c r="E383" i="49"/>
  <c r="G383" i="49" s="1"/>
  <c r="E406" i="60"/>
  <c r="G406" i="60" s="1"/>
  <c r="E405" i="60"/>
  <c r="G405" i="60" s="1"/>
  <c r="AA200" i="5"/>
  <c r="E384" i="49"/>
  <c r="G384" i="49" s="1"/>
  <c r="E404" i="60"/>
  <c r="G404" i="60" s="1"/>
  <c r="E401" i="60"/>
  <c r="G401" i="60" s="1"/>
  <c r="E381" i="49"/>
  <c r="G381" i="49" s="1"/>
  <c r="E380" i="49"/>
  <c r="G380" i="49" s="1"/>
  <c r="M31" i="5"/>
  <c r="E328" i="49"/>
  <c r="G328" i="49" s="1"/>
  <c r="AA180" i="5"/>
  <c r="E349" i="60"/>
  <c r="G349" i="60" s="1"/>
  <c r="E348" i="60"/>
  <c r="G348" i="60" s="1"/>
  <c r="E546" i="60"/>
  <c r="G546" i="60" s="1"/>
  <c r="E547" i="60"/>
  <c r="G547" i="60" s="1"/>
  <c r="E548" i="49"/>
  <c r="G548" i="49" s="1"/>
  <c r="E547" i="49"/>
  <c r="G547" i="49" s="1"/>
  <c r="E549" i="49"/>
  <c r="G549" i="49" s="1"/>
  <c r="E545" i="60"/>
  <c r="G545" i="60" s="1"/>
  <c r="AA254" i="5"/>
  <c r="E722" i="60"/>
  <c r="G722" i="60" s="1"/>
  <c r="E721" i="60"/>
  <c r="G721" i="60" s="1"/>
  <c r="AA327" i="5"/>
  <c r="E697" i="49"/>
  <c r="G697" i="49" s="1"/>
  <c r="E696" i="49"/>
  <c r="G696" i="49" s="1"/>
  <c r="E723" i="60"/>
  <c r="G723" i="60" s="1"/>
  <c r="M49" i="5"/>
  <c r="T35" i="5" s="1"/>
  <c r="M50" i="5"/>
  <c r="E216" i="60"/>
  <c r="G216" i="60" s="1"/>
  <c r="E231" i="49"/>
  <c r="G231" i="49" s="1"/>
  <c r="AA106" i="5"/>
  <c r="E215" i="60"/>
  <c r="G215" i="60" s="1"/>
  <c r="E531" i="60"/>
  <c r="G531" i="60" s="1"/>
  <c r="E534" i="49"/>
  <c r="G534" i="49" s="1"/>
  <c r="AA249" i="5"/>
  <c r="E533" i="60"/>
  <c r="G533" i="60" s="1"/>
  <c r="E532" i="60"/>
  <c r="G532" i="60" s="1"/>
  <c r="E366" i="60"/>
  <c r="G366" i="60" s="1"/>
  <c r="E367" i="60"/>
  <c r="G367" i="60" s="1"/>
  <c r="E365" i="60"/>
  <c r="G365" i="60" s="1"/>
  <c r="E348" i="49"/>
  <c r="G348" i="49" s="1"/>
  <c r="E349" i="49"/>
  <c r="G349" i="49" s="1"/>
  <c r="AA189" i="5"/>
  <c r="E375" i="49"/>
  <c r="G375" i="49" s="1"/>
  <c r="E376" i="49"/>
  <c r="G376" i="49" s="1"/>
  <c r="E377" i="49"/>
  <c r="G377" i="49" s="1"/>
  <c r="E379" i="49"/>
  <c r="G379" i="49" s="1"/>
  <c r="E398" i="60"/>
  <c r="G398" i="60" s="1"/>
  <c r="AA199" i="5"/>
  <c r="E400" i="60"/>
  <c r="G400" i="60" s="1"/>
  <c r="E378" i="49"/>
  <c r="G378" i="49" s="1"/>
  <c r="E399" i="60"/>
  <c r="G399" i="60" s="1"/>
  <c r="E436" i="49"/>
  <c r="G436" i="49" s="1"/>
  <c r="E433" i="49"/>
  <c r="G433" i="49" s="1"/>
  <c r="E434" i="49"/>
  <c r="G434" i="49" s="1"/>
  <c r="E443" i="60"/>
  <c r="G443" i="60" s="1"/>
  <c r="AA209" i="5"/>
  <c r="E435" i="49"/>
  <c r="G435" i="49" s="1"/>
  <c r="E442" i="60"/>
  <c r="G442" i="60" s="1"/>
  <c r="E432" i="49"/>
  <c r="G432" i="49" s="1"/>
  <c r="AA339" i="5"/>
  <c r="E717" i="49"/>
  <c r="G717" i="49" s="1"/>
  <c r="E758" i="60"/>
  <c r="G758" i="60" s="1"/>
  <c r="E718" i="49"/>
  <c r="G718" i="49" s="1"/>
  <c r="E757" i="60"/>
  <c r="G757" i="60" s="1"/>
  <c r="E759" i="60"/>
  <c r="G759" i="60" s="1"/>
  <c r="E345" i="60"/>
  <c r="G345" i="60" s="1"/>
  <c r="AA173" i="5"/>
  <c r="E313" i="49"/>
  <c r="G313" i="49" s="1"/>
  <c r="E312" i="49"/>
  <c r="G312" i="49" s="1"/>
  <c r="AA94" i="5"/>
  <c r="E179" i="60"/>
  <c r="G179" i="60" s="1"/>
  <c r="E204" i="49"/>
  <c r="G204" i="49" s="1"/>
  <c r="AA291" i="5"/>
  <c r="E635" i="49"/>
  <c r="G635" i="49" s="1"/>
  <c r="E652" i="60"/>
  <c r="G652" i="60" s="1"/>
  <c r="E637" i="49"/>
  <c r="G637" i="49" s="1"/>
  <c r="E636" i="49"/>
  <c r="G636" i="49" s="1"/>
  <c r="E650" i="49"/>
  <c r="G650" i="49" s="1"/>
  <c r="E657" i="60"/>
  <c r="G657" i="60" s="1"/>
  <c r="AA296" i="5"/>
  <c r="E656" i="60"/>
  <c r="G656" i="60" s="1"/>
  <c r="E836" i="60"/>
  <c r="G836" i="60" s="1"/>
  <c r="E789" i="49"/>
  <c r="G789" i="49" s="1"/>
  <c r="E790" i="49"/>
  <c r="G790" i="49" s="1"/>
  <c r="AA371" i="5"/>
  <c r="N56" i="5"/>
  <c r="E788" i="49"/>
  <c r="G788" i="49" s="1"/>
  <c r="AA148" i="5"/>
  <c r="E306" i="60"/>
  <c r="G306" i="60" s="1"/>
  <c r="E305" i="60"/>
  <c r="G305" i="60" s="1"/>
  <c r="N22" i="5"/>
  <c r="E104" i="60"/>
  <c r="G104" i="60" s="1"/>
  <c r="E102" i="49"/>
  <c r="G102" i="49" s="1"/>
  <c r="AA50" i="5"/>
  <c r="E105" i="60"/>
  <c r="G105" i="60" s="1"/>
  <c r="E106" i="60"/>
  <c r="G106" i="60" s="1"/>
  <c r="E101" i="49"/>
  <c r="G101" i="49" s="1"/>
  <c r="E103" i="49"/>
  <c r="G103" i="49" s="1"/>
  <c r="M9" i="5"/>
  <c r="AA89" i="5"/>
  <c r="M13" i="5"/>
  <c r="AA150" i="5"/>
  <c r="E310" i="60"/>
  <c r="G310" i="60" s="1"/>
  <c r="E311" i="60"/>
  <c r="E309" i="60"/>
  <c r="G309" i="60" s="1"/>
  <c r="L23" i="5"/>
  <c r="AA278" i="5"/>
  <c r="M42" i="5"/>
  <c r="E599" i="49"/>
  <c r="G599" i="49" s="1"/>
  <c r="E608" i="60"/>
  <c r="G608" i="60" s="1"/>
  <c r="E610" i="60"/>
  <c r="G610" i="60" s="1"/>
  <c r="E601" i="49"/>
  <c r="G601" i="49" s="1"/>
  <c r="E600" i="49"/>
  <c r="G600" i="49" s="1"/>
  <c r="E609" i="60"/>
  <c r="G609" i="60" s="1"/>
  <c r="E598" i="49"/>
  <c r="G598" i="49" s="1"/>
  <c r="L32" i="5"/>
  <c r="AA210" i="5"/>
  <c r="E444" i="60"/>
  <c r="G444" i="60" s="1"/>
  <c r="E439" i="49"/>
  <c r="G439" i="49" s="1"/>
  <c r="E438" i="49"/>
  <c r="G438" i="49" s="1"/>
  <c r="E437" i="49"/>
  <c r="G437" i="49" s="1"/>
  <c r="E658" i="49"/>
  <c r="G658" i="49" s="1"/>
  <c r="AA299" i="5"/>
  <c r="E160" i="60"/>
  <c r="G160" i="60" s="1"/>
  <c r="E159" i="60"/>
  <c r="G159" i="60" s="1"/>
  <c r="AA80" i="5"/>
  <c r="E116" i="49"/>
  <c r="G116" i="49" s="1"/>
  <c r="AA54" i="5"/>
  <c r="E115" i="49"/>
  <c r="G115" i="49" s="1"/>
  <c r="E114" i="49"/>
  <c r="G114" i="49" s="1"/>
  <c r="E115" i="60"/>
  <c r="G115" i="60" s="1"/>
  <c r="E116" i="60"/>
  <c r="G116" i="60" s="1"/>
  <c r="E519" i="60"/>
  <c r="G519" i="60" s="1"/>
  <c r="E530" i="49"/>
  <c r="G530" i="49" s="1"/>
  <c r="E520" i="60"/>
  <c r="G520" i="60" s="1"/>
  <c r="AA245" i="5"/>
  <c r="E534" i="60"/>
  <c r="G534" i="60" s="1"/>
  <c r="AA250" i="5"/>
  <c r="E535" i="60"/>
  <c r="G535" i="60" s="1"/>
  <c r="E705" i="49"/>
  <c r="G705" i="49" s="1"/>
  <c r="N49" i="5"/>
  <c r="U35" i="5" s="1"/>
  <c r="E737" i="60"/>
  <c r="G737" i="60" s="1"/>
  <c r="N50" i="5"/>
  <c r="E738" i="60"/>
  <c r="G738" i="60" s="1"/>
  <c r="E739" i="60"/>
  <c r="G739" i="60" s="1"/>
  <c r="E706" i="49"/>
  <c r="G706" i="49" s="1"/>
  <c r="E704" i="49"/>
  <c r="G704" i="49" s="1"/>
  <c r="AA332" i="5"/>
  <c r="N24" i="5"/>
  <c r="U43" i="5" s="1"/>
  <c r="N25" i="5"/>
  <c r="AA165" i="5"/>
  <c r="E655" i="60"/>
  <c r="G655" i="60" s="1"/>
  <c r="AA294" i="5"/>
  <c r="E638" i="49"/>
  <c r="G638" i="49" s="1"/>
  <c r="N44" i="5"/>
  <c r="E639" i="49"/>
  <c r="G639" i="49" s="1"/>
  <c r="E461" i="49"/>
  <c r="G461" i="49" s="1"/>
  <c r="AA216" i="5"/>
  <c r="E457" i="60"/>
  <c r="G457" i="60" s="1"/>
  <c r="E459" i="49"/>
  <c r="G459" i="49" s="1"/>
  <c r="E460" i="49"/>
  <c r="G460" i="49" s="1"/>
  <c r="E462" i="49"/>
  <c r="G462" i="49" s="1"/>
  <c r="AA248" i="5"/>
  <c r="E530" i="60"/>
  <c r="G530" i="60" s="1"/>
  <c r="E533" i="49"/>
  <c r="G533" i="49" s="1"/>
  <c r="E529" i="60"/>
  <c r="G529" i="60" s="1"/>
  <c r="E528" i="60"/>
  <c r="G528" i="60" s="1"/>
  <c r="E649" i="60"/>
  <c r="G649" i="60" s="1"/>
  <c r="AA289" i="5"/>
  <c r="E620" i="49"/>
  <c r="G620" i="49" s="1"/>
  <c r="E621" i="49"/>
  <c r="G621" i="49" s="1"/>
  <c r="E623" i="49"/>
  <c r="G623" i="49" s="1"/>
  <c r="E622" i="49"/>
  <c r="G622" i="49" s="1"/>
  <c r="AA183" i="5"/>
  <c r="E332" i="49"/>
  <c r="G332" i="49" s="1"/>
  <c r="M29" i="5"/>
  <c r="E354" i="60"/>
  <c r="G354" i="60" s="1"/>
  <c r="M28" i="5"/>
  <c r="T39" i="5" s="1"/>
  <c r="E269" i="60"/>
  <c r="G269" i="60" s="1"/>
  <c r="E270" i="60"/>
  <c r="G270" i="60" s="1"/>
  <c r="AA134" i="5"/>
  <c r="M8" i="5"/>
  <c r="E92" i="60"/>
  <c r="G92" i="60" s="1"/>
  <c r="AA41" i="5"/>
  <c r="E91" i="60"/>
  <c r="G91" i="60" s="1"/>
  <c r="AA377" i="5"/>
  <c r="N57" i="5"/>
  <c r="E843" i="60"/>
  <c r="G843" i="60" s="1"/>
  <c r="E589" i="60"/>
  <c r="G589" i="60" s="1"/>
  <c r="AA272" i="5"/>
  <c r="E582" i="49"/>
  <c r="G582" i="49" s="1"/>
  <c r="E95" i="60"/>
  <c r="G95" i="60" s="1"/>
  <c r="E96" i="60"/>
  <c r="G96" i="60" s="1"/>
  <c r="E94" i="49"/>
  <c r="G94" i="49" s="1"/>
  <c r="E97" i="60"/>
  <c r="G97" i="60" s="1"/>
  <c r="E93" i="49"/>
  <c r="G93" i="49" s="1"/>
  <c r="AA42" i="5"/>
  <c r="E93" i="60"/>
  <c r="G93" i="60" s="1"/>
  <c r="E94" i="60"/>
  <c r="G94" i="60" s="1"/>
  <c r="AA11" i="5"/>
  <c r="E18" i="49"/>
  <c r="G18" i="49" s="1"/>
  <c r="E19" i="49"/>
  <c r="G19" i="49" s="1"/>
  <c r="E730" i="49"/>
  <c r="G730" i="49" s="1"/>
  <c r="E732" i="49"/>
  <c r="G732" i="49" s="1"/>
  <c r="E737" i="49"/>
  <c r="G737" i="49" s="1"/>
  <c r="AA350" i="5"/>
  <c r="E734" i="49"/>
  <c r="G734" i="49" s="1"/>
  <c r="E733" i="49"/>
  <c r="G733" i="49" s="1"/>
  <c r="E735" i="49"/>
  <c r="G735" i="49" s="1"/>
  <c r="E736" i="49"/>
  <c r="G736" i="49" s="1"/>
  <c r="E731" i="49"/>
  <c r="G731" i="49" s="1"/>
  <c r="E793" i="49"/>
  <c r="G793" i="49" s="1"/>
  <c r="AA373" i="5"/>
  <c r="L57" i="5"/>
  <c r="E792" i="49"/>
  <c r="G792" i="49" s="1"/>
  <c r="E839" i="60"/>
  <c r="G839" i="60" s="1"/>
  <c r="AA105" i="5"/>
  <c r="E212" i="60"/>
  <c r="G212" i="60" s="1"/>
  <c r="E214" i="60"/>
  <c r="G214" i="60" s="1"/>
  <c r="E230" i="49"/>
  <c r="G230" i="49" s="1"/>
  <c r="E213" i="60"/>
  <c r="G213" i="60" s="1"/>
  <c r="E747" i="60"/>
  <c r="G747" i="60" s="1"/>
  <c r="AA334" i="5"/>
  <c r="E748" i="60"/>
  <c r="G748" i="60" s="1"/>
  <c r="E707" i="49"/>
  <c r="G707" i="49" s="1"/>
  <c r="E422" i="60"/>
  <c r="G422" i="60" s="1"/>
  <c r="AA203" i="5"/>
  <c r="E421" i="60"/>
  <c r="G421" i="60" s="1"/>
  <c r="E397" i="49"/>
  <c r="G397" i="49" s="1"/>
  <c r="E419" i="60"/>
  <c r="G419" i="60" s="1"/>
  <c r="E418" i="60"/>
  <c r="G418" i="60" s="1"/>
  <c r="E399" i="49"/>
  <c r="G399" i="49" s="1"/>
  <c r="E417" i="60"/>
  <c r="G417" i="60" s="1"/>
  <c r="E398" i="49"/>
  <c r="G398" i="49" s="1"/>
  <c r="E420" i="60"/>
  <c r="G420" i="60" s="1"/>
  <c r="E423" i="60"/>
  <c r="G423" i="60" s="1"/>
  <c r="E400" i="49"/>
  <c r="G400" i="49" s="1"/>
  <c r="AA24" i="5"/>
  <c r="E56" i="49"/>
  <c r="G56" i="49" s="1"/>
  <c r="E53" i="60"/>
  <c r="G53" i="60" s="1"/>
  <c r="E54" i="60"/>
  <c r="G54" i="60" s="1"/>
  <c r="E57" i="49"/>
  <c r="G57" i="49" s="1"/>
  <c r="E558" i="60"/>
  <c r="G558" i="60" s="1"/>
  <c r="E557" i="60"/>
  <c r="G557" i="60" s="1"/>
  <c r="E559" i="60"/>
  <c r="G559" i="60" s="1"/>
  <c r="N37" i="5"/>
  <c r="AA258" i="5"/>
  <c r="E381" i="60"/>
  <c r="E379" i="60"/>
  <c r="G379" i="60" s="1"/>
  <c r="E359" i="49"/>
  <c r="G359" i="49" s="1"/>
  <c r="E382" i="60"/>
  <c r="G382" i="60" s="1"/>
  <c r="E384" i="60"/>
  <c r="G384" i="60" s="1"/>
  <c r="E363" i="49"/>
  <c r="G363" i="49" s="1"/>
  <c r="E364" i="49"/>
  <c r="E361" i="49"/>
  <c r="G361" i="49" s="1"/>
  <c r="E358" i="49"/>
  <c r="G358" i="49" s="1"/>
  <c r="E383" i="60"/>
  <c r="G383" i="60" s="1"/>
  <c r="E360" i="49"/>
  <c r="G360" i="49" s="1"/>
  <c r="E362" i="49"/>
  <c r="G362" i="49" s="1"/>
  <c r="AA194" i="5"/>
  <c r="E380" i="60"/>
  <c r="G380" i="60" s="1"/>
  <c r="E477" i="60"/>
  <c r="G477" i="60" s="1"/>
  <c r="E481" i="49"/>
  <c r="G481" i="49" s="1"/>
  <c r="E476" i="60"/>
  <c r="G476" i="60" s="1"/>
  <c r="E479" i="49"/>
  <c r="G479" i="49" s="1"/>
  <c r="E478" i="49"/>
  <c r="G478" i="49" s="1"/>
  <c r="E482" i="49"/>
  <c r="G482" i="49" s="1"/>
  <c r="E479" i="60"/>
  <c r="G479" i="60" s="1"/>
  <c r="AA224" i="5"/>
  <c r="E480" i="49"/>
  <c r="G480" i="49" s="1"/>
  <c r="E478" i="60"/>
  <c r="G478" i="60" s="1"/>
  <c r="E570" i="60"/>
  <c r="G570" i="60" s="1"/>
  <c r="E572" i="60"/>
  <c r="G572" i="60" s="1"/>
  <c r="E571" i="60"/>
  <c r="G571" i="60" s="1"/>
  <c r="AA262" i="5"/>
  <c r="E559" i="49"/>
  <c r="G559" i="49" s="1"/>
  <c r="E561" i="49"/>
  <c r="G561" i="49" s="1"/>
  <c r="E560" i="49"/>
  <c r="G560" i="49" s="1"/>
  <c r="E290" i="49"/>
  <c r="G290" i="49" s="1"/>
  <c r="E342" i="60"/>
  <c r="G342" i="60" s="1"/>
  <c r="E288" i="49"/>
  <c r="G288" i="49" s="1"/>
  <c r="AA160" i="5"/>
  <c r="E289" i="49"/>
  <c r="G289" i="49" s="1"/>
  <c r="AA192" i="5"/>
  <c r="E373" i="60"/>
  <c r="G373" i="60" s="1"/>
  <c r="E356" i="49"/>
  <c r="G356" i="49" s="1"/>
  <c r="E375" i="60"/>
  <c r="G375" i="60" s="1"/>
  <c r="E376" i="60"/>
  <c r="G376" i="60" s="1"/>
  <c r="E355" i="49"/>
  <c r="G355" i="49" s="1"/>
  <c r="E374" i="60"/>
  <c r="G374" i="60" s="1"/>
  <c r="E354" i="49"/>
  <c r="G354" i="49" s="1"/>
  <c r="N6" i="5"/>
  <c r="E86" i="60"/>
  <c r="G86" i="60" s="1"/>
  <c r="E89" i="49"/>
  <c r="G89" i="49" s="1"/>
  <c r="AA36" i="5"/>
  <c r="E762" i="60"/>
  <c r="G762" i="60" s="1"/>
  <c r="E763" i="60"/>
  <c r="G763" i="60" s="1"/>
  <c r="AA341" i="5"/>
  <c r="E387" i="60"/>
  <c r="G387" i="60" s="1"/>
  <c r="AA195" i="5"/>
  <c r="E386" i="60"/>
  <c r="G386" i="60" s="1"/>
  <c r="E385" i="60"/>
  <c r="G385" i="60" s="1"/>
  <c r="N30" i="5"/>
  <c r="E59" i="49"/>
  <c r="G59" i="49" s="1"/>
  <c r="AA25" i="5"/>
  <c r="E58" i="49"/>
  <c r="G58" i="49" s="1"/>
  <c r="E56" i="60"/>
  <c r="G56" i="60" s="1"/>
  <c r="E55" i="60"/>
  <c r="G55" i="60" s="1"/>
  <c r="E311" i="49"/>
  <c r="G311" i="49" s="1"/>
  <c r="AA172" i="5"/>
  <c r="N26" i="5"/>
  <c r="E269" i="49"/>
  <c r="G269" i="49" s="1"/>
  <c r="AA122" i="5"/>
  <c r="E266" i="49"/>
  <c r="G266" i="49" s="1"/>
  <c r="E265" i="49"/>
  <c r="G265" i="49" s="1"/>
  <c r="E268" i="49"/>
  <c r="G268" i="49" s="1"/>
  <c r="E267" i="49"/>
  <c r="G267" i="49" s="1"/>
  <c r="E264" i="49"/>
  <c r="G264" i="49" s="1"/>
  <c r="E73" i="49"/>
  <c r="G73" i="49" s="1"/>
  <c r="E76" i="49"/>
  <c r="G76" i="49" s="1"/>
  <c r="AA30" i="5"/>
  <c r="E75" i="49"/>
  <c r="G75" i="49" s="1"/>
  <c r="E74" i="49"/>
  <c r="G74" i="49" s="1"/>
  <c r="E14" i="49"/>
  <c r="G14" i="49" s="1"/>
  <c r="E15" i="49"/>
  <c r="G15" i="49" s="1"/>
  <c r="AA9" i="5"/>
  <c r="E16" i="49"/>
  <c r="G16" i="49" s="1"/>
  <c r="M48" i="5"/>
  <c r="E672" i="49"/>
  <c r="G672" i="49" s="1"/>
  <c r="AA317" i="5"/>
  <c r="E157" i="49"/>
  <c r="G157" i="49" s="1"/>
  <c r="AA71" i="5"/>
  <c r="E155" i="49"/>
  <c r="G155" i="49" s="1"/>
  <c r="E156" i="49"/>
  <c r="G156" i="49" s="1"/>
  <c r="N10" i="5"/>
  <c r="E186" i="49"/>
  <c r="G186" i="49" s="1"/>
  <c r="E187" i="49"/>
  <c r="G187" i="49" s="1"/>
  <c r="N12" i="5"/>
  <c r="E185" i="49"/>
  <c r="G185" i="49" s="1"/>
  <c r="AA87" i="5"/>
  <c r="E174" i="60"/>
  <c r="G174" i="60" s="1"/>
  <c r="E175" i="60"/>
  <c r="G175" i="60" s="1"/>
  <c r="E184" i="49"/>
  <c r="G184" i="49" s="1"/>
  <c r="E188" i="49"/>
  <c r="G188" i="49" s="1"/>
  <c r="E176" i="60"/>
  <c r="G176" i="60" s="1"/>
  <c r="AA88" i="5"/>
  <c r="E189" i="49"/>
  <c r="G189" i="49" s="1"/>
  <c r="E190" i="49"/>
  <c r="G190" i="49" s="1"/>
  <c r="E143" i="49"/>
  <c r="G143" i="49" s="1"/>
  <c r="AA66" i="5"/>
  <c r="E144" i="49"/>
  <c r="G144" i="49" s="1"/>
  <c r="E141" i="60"/>
  <c r="G141" i="60" s="1"/>
  <c r="AA138" i="5"/>
  <c r="E279" i="60"/>
  <c r="G279" i="60" s="1"/>
  <c r="N20" i="5"/>
  <c r="U33" i="5" s="1"/>
  <c r="N21" i="5"/>
  <c r="E278" i="60"/>
  <c r="G278" i="60" s="1"/>
  <c r="E30" i="49"/>
  <c r="G30" i="49" s="1"/>
  <c r="E31" i="49"/>
  <c r="G31" i="49" s="1"/>
  <c r="E33" i="49"/>
  <c r="G33" i="49" s="1"/>
  <c r="E32" i="49"/>
  <c r="G32" i="49" s="1"/>
  <c r="E20" i="60"/>
  <c r="G20" i="60" s="1"/>
  <c r="E21" i="60"/>
  <c r="G21" i="60" s="1"/>
  <c r="E19" i="60"/>
  <c r="G19" i="60" s="1"/>
  <c r="E17" i="60"/>
  <c r="G17" i="60" s="1"/>
  <c r="E29" i="49"/>
  <c r="G29" i="49" s="1"/>
  <c r="M4" i="5"/>
  <c r="AA14" i="5"/>
  <c r="E18" i="60"/>
  <c r="G18" i="60" s="1"/>
  <c r="AA268" i="5"/>
  <c r="E583" i="60"/>
  <c r="G583" i="60" s="1"/>
  <c r="E577" i="49"/>
  <c r="G577" i="49" s="1"/>
  <c r="E582" i="60"/>
  <c r="G582" i="60" s="1"/>
  <c r="E581" i="60"/>
  <c r="G581" i="60" s="1"/>
  <c r="AA137" i="5"/>
  <c r="E277" i="60"/>
  <c r="G277" i="60" s="1"/>
  <c r="E303" i="49"/>
  <c r="G303" i="49" s="1"/>
  <c r="AA169" i="5"/>
  <c r="E324" i="49"/>
  <c r="G324" i="49" s="1"/>
  <c r="E326" i="49"/>
  <c r="G326" i="49" s="1"/>
  <c r="E323" i="49"/>
  <c r="G323" i="49" s="1"/>
  <c r="E322" i="49"/>
  <c r="G322" i="49" s="1"/>
  <c r="E320" i="49"/>
  <c r="G320" i="49" s="1"/>
  <c r="E325" i="49"/>
  <c r="G325" i="49" s="1"/>
  <c r="E321" i="49"/>
  <c r="G321" i="49" s="1"/>
  <c r="AA179" i="5"/>
  <c r="E327" i="49"/>
  <c r="G327" i="49" s="1"/>
  <c r="E627" i="60"/>
  <c r="G627" i="60" s="1"/>
  <c r="E603" i="49"/>
  <c r="G603" i="49" s="1"/>
  <c r="E604" i="49"/>
  <c r="G604" i="49" s="1"/>
  <c r="E628" i="60"/>
  <c r="G628" i="60" s="1"/>
  <c r="E626" i="60"/>
  <c r="G626" i="60" s="1"/>
  <c r="E630" i="60"/>
  <c r="G630" i="60" s="1"/>
  <c r="AA282" i="5"/>
  <c r="E605" i="49"/>
  <c r="G605" i="49" s="1"/>
  <c r="N42" i="5"/>
  <c r="E629" i="60"/>
  <c r="G629" i="60" s="1"/>
  <c r="E602" i="49"/>
  <c r="G602" i="49" s="1"/>
  <c r="E64" i="60"/>
  <c r="G64" i="60" s="1"/>
  <c r="E60" i="60"/>
  <c r="G60" i="60" s="1"/>
  <c r="E65" i="60"/>
  <c r="G65" i="60" s="1"/>
  <c r="E63" i="49"/>
  <c r="G63" i="49" s="1"/>
  <c r="E63" i="60"/>
  <c r="G63" i="60" s="1"/>
  <c r="E66" i="60"/>
  <c r="G66" i="60" s="1"/>
  <c r="E62" i="60"/>
  <c r="G62" i="60" s="1"/>
  <c r="E61" i="60"/>
  <c r="G61" i="60" s="1"/>
  <c r="E64" i="49"/>
  <c r="G64" i="49" s="1"/>
  <c r="AA27" i="5"/>
  <c r="AA348" i="5"/>
  <c r="E781" i="60"/>
  <c r="G781" i="60" s="1"/>
  <c r="E741" i="49"/>
  <c r="G741" i="49" s="1"/>
  <c r="E794" i="60"/>
  <c r="G794" i="60" s="1"/>
  <c r="AA354" i="5"/>
  <c r="E796" i="60"/>
  <c r="G796" i="60" s="1"/>
  <c r="E799" i="60"/>
  <c r="G799" i="60" s="1"/>
  <c r="E793" i="60"/>
  <c r="G793" i="60" s="1"/>
  <c r="E798" i="60"/>
  <c r="G798" i="60" s="1"/>
  <c r="E795" i="60"/>
  <c r="G795" i="60" s="1"/>
  <c r="E797" i="60"/>
  <c r="G797" i="60" s="1"/>
  <c r="E668" i="49"/>
  <c r="G668" i="49" s="1"/>
  <c r="AA311" i="5"/>
  <c r="N47" i="5"/>
  <c r="E5" i="60"/>
  <c r="G5" i="60" s="1"/>
  <c r="AA5" i="5"/>
  <c r="E6" i="60"/>
  <c r="G6" i="60" s="1"/>
  <c r="E8" i="49"/>
  <c r="G8" i="49" s="1"/>
  <c r="M2" i="5"/>
  <c r="T37" i="5" s="1"/>
  <c r="M3" i="5"/>
  <c r="E611" i="60"/>
  <c r="G611" i="60" s="1"/>
  <c r="E617" i="60"/>
  <c r="G617" i="60" s="1"/>
  <c r="E619" i="60"/>
  <c r="G619" i="60" s="1"/>
  <c r="E614" i="60"/>
  <c r="G614" i="60" s="1"/>
  <c r="E613" i="60"/>
  <c r="G613" i="60" s="1"/>
  <c r="E616" i="60"/>
  <c r="G616" i="60" s="1"/>
  <c r="E615" i="60"/>
  <c r="G615" i="60" s="1"/>
  <c r="AA279" i="5"/>
  <c r="E612" i="60"/>
  <c r="G612" i="60" s="1"/>
  <c r="E618" i="60"/>
  <c r="G618" i="60" s="1"/>
  <c r="E143" i="60"/>
  <c r="G143" i="60" s="1"/>
  <c r="E142" i="60"/>
  <c r="G142" i="60" s="1"/>
  <c r="E145" i="49"/>
  <c r="G145" i="49" s="1"/>
  <c r="AA67" i="5"/>
  <c r="E466" i="49"/>
  <c r="G466" i="49" s="1"/>
  <c r="AA217" i="5"/>
  <c r="E463" i="49"/>
  <c r="G463" i="49" s="1"/>
  <c r="E465" i="49"/>
  <c r="G465" i="49" s="1"/>
  <c r="E467" i="49"/>
  <c r="G467" i="49" s="1"/>
  <c r="E464" i="49"/>
  <c r="G464" i="49" s="1"/>
  <c r="E458" i="60"/>
  <c r="G458" i="60" s="1"/>
  <c r="E551" i="60"/>
  <c r="G551" i="60" s="1"/>
  <c r="E553" i="60"/>
  <c r="G553" i="60" s="1"/>
  <c r="AA256" i="5"/>
  <c r="E552" i="60"/>
  <c r="G552" i="60" s="1"/>
  <c r="AA286" i="5"/>
  <c r="E648" i="60"/>
  <c r="G648" i="60" s="1"/>
  <c r="E609" i="49"/>
  <c r="G609" i="49" s="1"/>
  <c r="E95" i="49"/>
  <c r="G95" i="49" s="1"/>
  <c r="AA46" i="5"/>
  <c r="E317" i="60"/>
  <c r="G317" i="60" s="1"/>
  <c r="AA152" i="5"/>
  <c r="E315" i="60"/>
  <c r="G315" i="60" s="1"/>
  <c r="E318" i="60"/>
  <c r="G318" i="60" s="1"/>
  <c r="E316" i="60"/>
  <c r="G316" i="60" s="1"/>
  <c r="E153" i="60"/>
  <c r="G153" i="60" s="1"/>
  <c r="E154" i="60"/>
  <c r="G154" i="60" s="1"/>
  <c r="AA78" i="5"/>
  <c r="E438" i="60"/>
  <c r="G438" i="60" s="1"/>
  <c r="E441" i="60"/>
  <c r="G441" i="60" s="1"/>
  <c r="AA207" i="5"/>
  <c r="E430" i="49"/>
  <c r="G430" i="49" s="1"/>
  <c r="E439" i="60"/>
  <c r="G439" i="60" s="1"/>
  <c r="E440" i="60"/>
  <c r="G440" i="60" s="1"/>
  <c r="E429" i="49"/>
  <c r="G429" i="49" s="1"/>
  <c r="E708" i="60"/>
  <c r="G708" i="60" s="1"/>
  <c r="AA323" i="5"/>
  <c r="E687" i="49"/>
  <c r="G687" i="49" s="1"/>
  <c r="E689" i="49"/>
  <c r="G689" i="49" s="1"/>
  <c r="E705" i="60"/>
  <c r="G705" i="60" s="1"/>
  <c r="E688" i="49"/>
  <c r="G688" i="49" s="1"/>
  <c r="E707" i="60"/>
  <c r="G707" i="60" s="1"/>
  <c r="E704" i="60"/>
  <c r="G704" i="60" s="1"/>
  <c r="E706" i="60"/>
  <c r="G706" i="60" s="1"/>
  <c r="L50" i="5"/>
  <c r="O50" i="5" s="1"/>
  <c r="L49" i="5"/>
  <c r="S35" i="5" s="1"/>
  <c r="AA218" i="5"/>
  <c r="E468" i="49"/>
  <c r="G468" i="49" s="1"/>
  <c r="E461" i="60"/>
  <c r="G461" i="60" s="1"/>
  <c r="E459" i="60"/>
  <c r="G459" i="60" s="1"/>
  <c r="E460" i="60"/>
  <c r="G460" i="60" s="1"/>
  <c r="E295" i="60"/>
  <c r="G295" i="60" s="1"/>
  <c r="E294" i="60"/>
  <c r="G294" i="60" s="1"/>
  <c r="AA141" i="5"/>
  <c r="M22" i="5"/>
  <c r="E755" i="49"/>
  <c r="G755" i="49" s="1"/>
  <c r="AA361" i="5"/>
  <c r="E827" i="60"/>
  <c r="G827" i="60" s="1"/>
  <c r="AA178" i="5"/>
  <c r="E319" i="49"/>
  <c r="G319" i="49" s="1"/>
  <c r="E347" i="60"/>
  <c r="G347" i="60" s="1"/>
  <c r="E318" i="49"/>
  <c r="G318" i="49" s="1"/>
  <c r="N27" i="5"/>
  <c r="E680" i="49"/>
  <c r="G680" i="49" s="1"/>
  <c r="E677" i="49"/>
  <c r="G677" i="49" s="1"/>
  <c r="AA320" i="5"/>
  <c r="E678" i="49"/>
  <c r="G678" i="49" s="1"/>
  <c r="E681" i="49"/>
  <c r="G681" i="49" s="1"/>
  <c r="E682" i="49"/>
  <c r="G682" i="49" s="1"/>
  <c r="E679" i="49"/>
  <c r="G679" i="49" s="1"/>
  <c r="E683" i="49"/>
  <c r="G683" i="49" s="1"/>
  <c r="E676" i="49"/>
  <c r="G676" i="49" s="1"/>
  <c r="E685" i="49"/>
  <c r="G685" i="49" s="1"/>
  <c r="AA322" i="5"/>
  <c r="E686" i="49"/>
  <c r="G686" i="49" s="1"/>
  <c r="E590" i="60"/>
  <c r="G590" i="60" s="1"/>
  <c r="E583" i="49"/>
  <c r="G583" i="49" s="1"/>
  <c r="AA273" i="5"/>
  <c r="AA304" i="5"/>
  <c r="L47" i="5"/>
  <c r="E402" i="49"/>
  <c r="G402" i="49" s="1"/>
  <c r="E426" i="60"/>
  <c r="G426" i="60" s="1"/>
  <c r="E406" i="49"/>
  <c r="G406" i="49" s="1"/>
  <c r="E428" i="60"/>
  <c r="G428" i="60" s="1"/>
  <c r="E427" i="60"/>
  <c r="G427" i="60" s="1"/>
  <c r="E405" i="49"/>
  <c r="G405" i="49" s="1"/>
  <c r="AA204" i="5"/>
  <c r="E404" i="49"/>
  <c r="G404" i="49" s="1"/>
  <c r="E424" i="60"/>
  <c r="G424" i="60" s="1"/>
  <c r="E407" i="49"/>
  <c r="G407" i="49" s="1"/>
  <c r="E403" i="49"/>
  <c r="G403" i="49" s="1"/>
  <c r="E425" i="60"/>
  <c r="G425" i="60" s="1"/>
  <c r="E401" i="49"/>
  <c r="G401" i="49" s="1"/>
  <c r="E841" i="60"/>
  <c r="G841" i="60" s="1"/>
  <c r="E795" i="49"/>
  <c r="G795" i="49" s="1"/>
  <c r="AA375" i="5"/>
  <c r="M57" i="5"/>
  <c r="AA342" i="5"/>
  <c r="E720" i="49"/>
  <c r="G720" i="49" s="1"/>
  <c r="E761" i="49"/>
  <c r="G761" i="49" s="1"/>
  <c r="E768" i="49"/>
  <c r="G768" i="49" s="1"/>
  <c r="AA368" i="5"/>
  <c r="E766" i="49"/>
  <c r="G766" i="49" s="1"/>
  <c r="E767" i="49"/>
  <c r="G767" i="49" s="1"/>
  <c r="E769" i="49"/>
  <c r="G769" i="49" s="1"/>
  <c r="E763" i="49"/>
  <c r="G763" i="49" s="1"/>
  <c r="E764" i="49"/>
  <c r="G764" i="49" s="1"/>
  <c r="E765" i="49"/>
  <c r="G765" i="49" s="1"/>
  <c r="E833" i="60"/>
  <c r="G833" i="60" s="1"/>
  <c r="E762" i="49"/>
  <c r="G762" i="49" s="1"/>
  <c r="E46" i="60"/>
  <c r="G46" i="60" s="1"/>
  <c r="E48" i="49"/>
  <c r="G48" i="49" s="1"/>
  <c r="E50" i="49"/>
  <c r="G50" i="49" s="1"/>
  <c r="AA21" i="5"/>
  <c r="L5" i="5"/>
  <c r="E49" i="49"/>
  <c r="G49" i="49" s="1"/>
  <c r="AA93" i="5"/>
  <c r="E203" i="49"/>
  <c r="G203" i="49" s="1"/>
  <c r="E177" i="60"/>
  <c r="G177" i="60" s="1"/>
  <c r="E178" i="60"/>
  <c r="G178" i="60" s="1"/>
  <c r="E842" i="60"/>
  <c r="G842" i="60" s="1"/>
  <c r="E796" i="49"/>
  <c r="G796" i="49" s="1"/>
  <c r="AA376" i="5"/>
  <c r="E798" i="49"/>
  <c r="G798" i="49" s="1"/>
  <c r="E797" i="49"/>
  <c r="G797" i="49" s="1"/>
  <c r="N46" i="5"/>
  <c r="E663" i="49"/>
  <c r="G663" i="49" s="1"/>
  <c r="AA303" i="5"/>
  <c r="N45" i="5"/>
  <c r="U40" i="5" s="1"/>
  <c r="E397" i="60"/>
  <c r="G397" i="60" s="1"/>
  <c r="E373" i="49"/>
  <c r="G373" i="49" s="1"/>
  <c r="E394" i="60"/>
  <c r="G394" i="60" s="1"/>
  <c r="E396" i="60"/>
  <c r="G396" i="60" s="1"/>
  <c r="E374" i="49"/>
  <c r="G374" i="49" s="1"/>
  <c r="E372" i="49"/>
  <c r="G372" i="49" s="1"/>
  <c r="AA198" i="5"/>
  <c r="E393" i="60"/>
  <c r="G393" i="60" s="1"/>
  <c r="E371" i="49"/>
  <c r="G371" i="49" s="1"/>
  <c r="E395" i="60"/>
  <c r="G395" i="60" s="1"/>
  <c r="E316" i="49"/>
  <c r="G316" i="49" s="1"/>
  <c r="E317" i="49"/>
  <c r="G317" i="49" s="1"/>
  <c r="AA174" i="5"/>
  <c r="E315" i="49"/>
  <c r="G315" i="49" s="1"/>
  <c r="E314" i="49"/>
  <c r="G314" i="49" s="1"/>
  <c r="E148" i="60"/>
  <c r="G148" i="60" s="1"/>
  <c r="E162" i="49"/>
  <c r="G162" i="49" s="1"/>
  <c r="AA73" i="5"/>
  <c r="E147" i="60"/>
  <c r="G147" i="60" s="1"/>
  <c r="M11" i="5"/>
  <c r="O11" i="5" s="1"/>
  <c r="E505" i="60"/>
  <c r="G505" i="60" s="1"/>
  <c r="L36" i="5"/>
  <c r="E526" i="49"/>
  <c r="G526" i="49" s="1"/>
  <c r="L34" i="5"/>
  <c r="S36" i="5" s="1"/>
  <c r="E506" i="60"/>
  <c r="G506" i="60" s="1"/>
  <c r="AA239" i="5"/>
  <c r="E710" i="60"/>
  <c r="G710" i="60" s="1"/>
  <c r="AA324" i="5"/>
  <c r="E690" i="49"/>
  <c r="G690" i="49" s="1"/>
  <c r="E691" i="49"/>
  <c r="G691" i="49" s="1"/>
  <c r="E711" i="60"/>
  <c r="G711" i="60" s="1"/>
  <c r="E709" i="60"/>
  <c r="G709" i="60" s="1"/>
  <c r="E342" i="49"/>
  <c r="G342" i="49" s="1"/>
  <c r="AA187" i="5"/>
  <c r="E341" i="49"/>
  <c r="G341" i="49" s="1"/>
  <c r="E344" i="49"/>
  <c r="G344" i="49" s="1"/>
  <c r="E340" i="49"/>
  <c r="G340" i="49" s="1"/>
  <c r="E343" i="49"/>
  <c r="G343" i="49" s="1"/>
  <c r="E362" i="60"/>
  <c r="G362" i="60" s="1"/>
  <c r="E364" i="60"/>
  <c r="G364" i="60" s="1"/>
  <c r="E346" i="49"/>
  <c r="G346" i="49" s="1"/>
  <c r="AA188" i="5"/>
  <c r="E363" i="60"/>
  <c r="G363" i="60" s="1"/>
  <c r="E345" i="49"/>
  <c r="G345" i="49" s="1"/>
  <c r="L30" i="5"/>
  <c r="E347" i="49"/>
  <c r="G347" i="49" s="1"/>
  <c r="E172" i="60"/>
  <c r="G172" i="60" s="1"/>
  <c r="E178" i="49"/>
  <c r="G178" i="49" s="1"/>
  <c r="E180" i="49"/>
  <c r="G180" i="49" s="1"/>
  <c r="E179" i="49"/>
  <c r="G179" i="49" s="1"/>
  <c r="E170" i="60"/>
  <c r="G170" i="60" s="1"/>
  <c r="AA85" i="5"/>
  <c r="E171" i="60"/>
  <c r="G171" i="60" s="1"/>
  <c r="E360" i="60"/>
  <c r="G360" i="60" s="1"/>
  <c r="E361" i="60"/>
  <c r="G361" i="60" s="1"/>
  <c r="AA186" i="5"/>
  <c r="E339" i="49"/>
  <c r="G339" i="49" s="1"/>
  <c r="E629" i="49"/>
  <c r="G629" i="49" s="1"/>
  <c r="AA290" i="5"/>
  <c r="E631" i="49"/>
  <c r="G631" i="49" s="1"/>
  <c r="E627" i="49"/>
  <c r="G627" i="49" s="1"/>
  <c r="E624" i="49"/>
  <c r="G624" i="49" s="1"/>
  <c r="E633" i="49"/>
  <c r="G633" i="49" s="1"/>
  <c r="E634" i="49"/>
  <c r="G634" i="49" s="1"/>
  <c r="E632" i="49"/>
  <c r="G632" i="49" s="1"/>
  <c r="E625" i="49"/>
  <c r="G625" i="49" s="1"/>
  <c r="E630" i="49"/>
  <c r="G630" i="49" s="1"/>
  <c r="E626" i="49"/>
  <c r="G626" i="49" s="1"/>
  <c r="E628" i="49"/>
  <c r="G628" i="49" s="1"/>
  <c r="E650" i="60"/>
  <c r="G650" i="60" s="1"/>
  <c r="E651" i="60"/>
  <c r="G651" i="60" s="1"/>
  <c r="E742" i="60"/>
  <c r="G742" i="60" s="1"/>
  <c r="E740" i="60"/>
  <c r="G740" i="60" s="1"/>
  <c r="E743" i="60"/>
  <c r="G743" i="60" s="1"/>
  <c r="AA333" i="5"/>
  <c r="E745" i="60"/>
  <c r="G745" i="60" s="1"/>
  <c r="E746" i="60"/>
  <c r="G746" i="60" s="1"/>
  <c r="E741" i="60"/>
  <c r="G741" i="60" s="1"/>
  <c r="E744" i="60"/>
  <c r="G744" i="60" s="1"/>
  <c r="E658" i="60"/>
  <c r="G658" i="60" s="1"/>
  <c r="AA297" i="5"/>
  <c r="E651" i="49"/>
  <c r="G651" i="49" s="1"/>
  <c r="E652" i="49"/>
  <c r="G652" i="49" s="1"/>
  <c r="E646" i="49"/>
  <c r="G646" i="49" s="1"/>
  <c r="E641" i="49"/>
  <c r="G641" i="49" s="1"/>
  <c r="E647" i="49"/>
  <c r="G647" i="49" s="1"/>
  <c r="AA295" i="5"/>
  <c r="E648" i="49"/>
  <c r="G648" i="49" s="1"/>
  <c r="E645" i="49"/>
  <c r="G645" i="49" s="1"/>
  <c r="E643" i="49"/>
  <c r="G643" i="49" s="1"/>
  <c r="E649" i="49"/>
  <c r="G649" i="49" s="1"/>
  <c r="E642" i="49"/>
  <c r="G642" i="49" s="1"/>
  <c r="E644" i="49"/>
  <c r="G644" i="49" s="1"/>
  <c r="E640" i="49"/>
  <c r="G640" i="49" s="1"/>
  <c r="E753" i="49"/>
  <c r="G753" i="49" s="1"/>
  <c r="AA359" i="5"/>
  <c r="E569" i="60"/>
  <c r="G569" i="60" s="1"/>
  <c r="E557" i="49"/>
  <c r="G557" i="49" s="1"/>
  <c r="AA261" i="5"/>
  <c r="E558" i="49"/>
  <c r="G558" i="49" s="1"/>
  <c r="N38" i="5"/>
  <c r="E270" i="49"/>
  <c r="G270" i="49" s="1"/>
  <c r="N18" i="5"/>
  <c r="E271" i="49"/>
  <c r="G271" i="49" s="1"/>
  <c r="AA123" i="5"/>
  <c r="AA34" i="5"/>
  <c r="E82" i="49"/>
  <c r="G82" i="49" s="1"/>
  <c r="E80" i="49"/>
  <c r="G80" i="49" s="1"/>
  <c r="E87" i="49"/>
  <c r="G87" i="49" s="1"/>
  <c r="E83" i="49"/>
  <c r="G83" i="49" s="1"/>
  <c r="E84" i="49"/>
  <c r="G84" i="49" s="1"/>
  <c r="E85" i="49"/>
  <c r="G85" i="49" s="1"/>
  <c r="E86" i="49"/>
  <c r="G86" i="49" s="1"/>
  <c r="E81" i="49"/>
  <c r="G81" i="49" s="1"/>
  <c r="AA319" i="5"/>
  <c r="E673" i="49"/>
  <c r="G673" i="49" s="1"/>
  <c r="E674" i="49"/>
  <c r="G674" i="49" s="1"/>
  <c r="E675" i="49"/>
  <c r="G675" i="49" s="1"/>
  <c r="N48" i="5"/>
  <c r="AA315" i="5"/>
  <c r="E669" i="49"/>
  <c r="G669" i="49" s="1"/>
  <c r="E351" i="60"/>
  <c r="G351" i="60" s="1"/>
  <c r="E352" i="60"/>
  <c r="G352" i="60" s="1"/>
  <c r="E330" i="49"/>
  <c r="G330" i="49" s="1"/>
  <c r="AA182" i="5"/>
  <c r="E353" i="60"/>
  <c r="G353" i="60" s="1"/>
  <c r="E331" i="49"/>
  <c r="G331" i="49" s="1"/>
  <c r="L29" i="5"/>
  <c r="L28" i="5"/>
  <c r="S39" i="5" s="1"/>
  <c r="E88" i="60"/>
  <c r="G88" i="60" s="1"/>
  <c r="AA38" i="5"/>
  <c r="M7" i="5"/>
  <c r="T42" i="5" s="1"/>
  <c r="E301" i="60"/>
  <c r="G301" i="60" s="1"/>
  <c r="E300" i="60"/>
  <c r="G300" i="60" s="1"/>
  <c r="E302" i="60"/>
  <c r="G302" i="60" s="1"/>
  <c r="AA146" i="5"/>
  <c r="E575" i="49"/>
  <c r="G575" i="49" s="1"/>
  <c r="E573" i="49"/>
  <c r="G573" i="49" s="1"/>
  <c r="E576" i="49"/>
  <c r="G576" i="49" s="1"/>
  <c r="E572" i="49"/>
  <c r="G572" i="49" s="1"/>
  <c r="E570" i="49"/>
  <c r="G570" i="49" s="1"/>
  <c r="E571" i="49"/>
  <c r="G571" i="49" s="1"/>
  <c r="AA267" i="5"/>
  <c r="E574" i="49"/>
  <c r="G574" i="49" s="1"/>
  <c r="E569" i="49"/>
  <c r="G569" i="49" s="1"/>
  <c r="E580" i="60"/>
  <c r="G580" i="60" s="1"/>
  <c r="E104" i="49"/>
  <c r="G104" i="49" s="1"/>
  <c r="AA51" i="5"/>
  <c r="E107" i="60"/>
  <c r="G107" i="60" s="1"/>
  <c r="E108" i="60"/>
  <c r="G108" i="60" s="1"/>
  <c r="E105" i="49"/>
  <c r="G105" i="49" s="1"/>
  <c r="E267" i="60"/>
  <c r="G267" i="60" s="1"/>
  <c r="AA132" i="5"/>
  <c r="E266" i="60"/>
  <c r="G266" i="60" s="1"/>
  <c r="E809" i="60"/>
  <c r="G809" i="60" s="1"/>
  <c r="E811" i="60"/>
  <c r="G811" i="60" s="1"/>
  <c r="E808" i="60"/>
  <c r="G808" i="60" s="1"/>
  <c r="E810" i="60"/>
  <c r="G810" i="60" s="1"/>
  <c r="AA356" i="5"/>
  <c r="E807" i="60"/>
  <c r="G807" i="60" s="1"/>
  <c r="E812" i="60"/>
  <c r="G812" i="60" s="1"/>
  <c r="E743" i="49"/>
  <c r="G743" i="49" s="1"/>
  <c r="E714" i="49"/>
  <c r="G714" i="49" s="1"/>
  <c r="E713" i="49"/>
  <c r="G713" i="49" s="1"/>
  <c r="E715" i="49"/>
  <c r="G715" i="49" s="1"/>
  <c r="E752" i="60"/>
  <c r="G752" i="60" s="1"/>
  <c r="E751" i="60"/>
  <c r="G751" i="60" s="1"/>
  <c r="AA337" i="5"/>
  <c r="E758" i="49"/>
  <c r="G758" i="49" s="1"/>
  <c r="E760" i="49"/>
  <c r="G760" i="49" s="1"/>
  <c r="AA367" i="5"/>
  <c r="E759" i="49"/>
  <c r="G759" i="49" s="1"/>
  <c r="E757" i="49"/>
  <c r="G757" i="49" s="1"/>
  <c r="E832" i="60"/>
  <c r="G832" i="60" s="1"/>
  <c r="L56" i="5"/>
  <c r="E47" i="60"/>
  <c r="G47" i="60" s="1"/>
  <c r="E53" i="49"/>
  <c r="G53" i="49" s="1"/>
  <c r="AA22" i="5"/>
  <c r="E51" i="49"/>
  <c r="G51" i="49" s="1"/>
  <c r="E52" i="49"/>
  <c r="G52" i="49" s="1"/>
  <c r="N33" i="5"/>
  <c r="AA227" i="5"/>
  <c r="E486" i="60"/>
  <c r="G486" i="60" s="1"/>
  <c r="E492" i="49"/>
  <c r="G492" i="49" s="1"/>
  <c r="E489" i="49"/>
  <c r="G489" i="49" s="1"/>
  <c r="E488" i="49"/>
  <c r="G488" i="49" s="1"/>
  <c r="E490" i="49"/>
  <c r="G490" i="49" s="1"/>
  <c r="E491" i="49"/>
  <c r="G491" i="49" s="1"/>
  <c r="E162" i="60"/>
  <c r="G162" i="60" s="1"/>
  <c r="L12" i="5"/>
  <c r="E170" i="49"/>
  <c r="G170" i="49" s="1"/>
  <c r="E161" i="60"/>
  <c r="G161" i="60" s="1"/>
  <c r="AA81" i="5"/>
  <c r="E169" i="49"/>
  <c r="G169" i="49" s="1"/>
  <c r="AA63" i="5"/>
  <c r="E138" i="49"/>
  <c r="G138" i="49" s="1"/>
  <c r="E139" i="49"/>
  <c r="G139" i="49" s="1"/>
  <c r="E137" i="60"/>
  <c r="G137" i="60" s="1"/>
  <c r="E298" i="49"/>
  <c r="G298" i="49" s="1"/>
  <c r="E296" i="49"/>
  <c r="G296" i="49" s="1"/>
  <c r="AA163" i="5"/>
  <c r="E297" i="49"/>
  <c r="G297" i="49" s="1"/>
  <c r="M55" i="5"/>
  <c r="AA362" i="5"/>
  <c r="E828" i="60"/>
  <c r="G828" i="60" s="1"/>
  <c r="E297" i="60"/>
  <c r="G297" i="60" s="1"/>
  <c r="AA144" i="5"/>
  <c r="E801" i="49"/>
  <c r="G801" i="49" s="1"/>
  <c r="M58" i="5"/>
  <c r="AA379" i="5"/>
  <c r="E415" i="60"/>
  <c r="G415" i="60" s="1"/>
  <c r="E414" i="60"/>
  <c r="G414" i="60" s="1"/>
  <c r="E416" i="60"/>
  <c r="G416" i="60" s="1"/>
  <c r="E413" i="60"/>
  <c r="G413" i="60" s="1"/>
  <c r="AA202" i="5"/>
  <c r="E396" i="49"/>
  <c r="G396" i="49" s="1"/>
  <c r="E395" i="49"/>
  <c r="G395" i="49" s="1"/>
  <c r="E394" i="49"/>
  <c r="G394" i="49" s="1"/>
  <c r="N16" i="5"/>
  <c r="E220" i="60"/>
  <c r="G220" i="60" s="1"/>
  <c r="AA108" i="5"/>
  <c r="E232" i="49"/>
  <c r="G232" i="49" s="1"/>
  <c r="E221" i="60"/>
  <c r="G221" i="60" s="1"/>
  <c r="E219" i="60"/>
  <c r="G219" i="60" s="1"/>
  <c r="E233" i="49"/>
  <c r="G233" i="49" s="1"/>
  <c r="N14" i="5"/>
  <c r="U34" i="5" s="1"/>
  <c r="AA309" i="5"/>
  <c r="E665" i="49"/>
  <c r="G665" i="49" s="1"/>
  <c r="E44" i="60"/>
  <c r="G44" i="60" s="1"/>
  <c r="E45" i="60"/>
  <c r="G45" i="60" s="1"/>
  <c r="E44" i="49"/>
  <c r="G44" i="49" s="1"/>
  <c r="E45" i="49"/>
  <c r="G45" i="49" s="1"/>
  <c r="E42" i="60"/>
  <c r="G42" i="60" s="1"/>
  <c r="E43" i="60"/>
  <c r="G43" i="60" s="1"/>
  <c r="E46" i="49"/>
  <c r="G46" i="49" s="1"/>
  <c r="AA20" i="5"/>
  <c r="E47" i="49"/>
  <c r="G47" i="49" s="1"/>
  <c r="E466" i="60"/>
  <c r="G466" i="60" s="1"/>
  <c r="E465" i="60"/>
  <c r="G465" i="60" s="1"/>
  <c r="AA220" i="5"/>
  <c r="E464" i="60"/>
  <c r="G464" i="60" s="1"/>
  <c r="E471" i="49"/>
  <c r="G471" i="49" s="1"/>
  <c r="E470" i="49"/>
  <c r="G470" i="49" s="1"/>
  <c r="E805" i="60"/>
  <c r="G805" i="60" s="1"/>
  <c r="M53" i="5"/>
  <c r="T41" i="5" s="1"/>
  <c r="E800" i="60"/>
  <c r="G800" i="60" s="1"/>
  <c r="E742" i="49"/>
  <c r="G742" i="49" s="1"/>
  <c r="E806" i="60"/>
  <c r="G806" i="60" s="1"/>
  <c r="E804" i="60"/>
  <c r="G804" i="60" s="1"/>
  <c r="M54" i="5"/>
  <c r="E801" i="60"/>
  <c r="G801" i="60" s="1"/>
  <c r="AA355" i="5"/>
  <c r="E803" i="60"/>
  <c r="G803" i="60" s="1"/>
  <c r="E802" i="60"/>
  <c r="G802" i="60" s="1"/>
  <c r="L31" i="5"/>
  <c r="AA197" i="5"/>
  <c r="E391" i="60"/>
  <c r="G391" i="60" s="1"/>
  <c r="E367" i="49"/>
  <c r="G367" i="49" s="1"/>
  <c r="E369" i="49"/>
  <c r="G369" i="49" s="1"/>
  <c r="E370" i="49"/>
  <c r="G370" i="49" s="1"/>
  <c r="E368" i="49"/>
  <c r="G368" i="49" s="1"/>
  <c r="E392" i="60"/>
  <c r="G392" i="60" s="1"/>
  <c r="E573" i="60"/>
  <c r="G573" i="60" s="1"/>
  <c r="E575" i="60"/>
  <c r="G575" i="60" s="1"/>
  <c r="E574" i="60"/>
  <c r="G574" i="60" s="1"/>
  <c r="E562" i="49"/>
  <c r="G562" i="49" s="1"/>
  <c r="AA263" i="5"/>
  <c r="E296" i="60"/>
  <c r="G296" i="60" s="1"/>
  <c r="AA143" i="5"/>
  <c r="E372" i="60"/>
  <c r="G372" i="60" s="1"/>
  <c r="E353" i="49"/>
  <c r="G353" i="49" s="1"/>
  <c r="E371" i="60"/>
  <c r="G371" i="60" s="1"/>
  <c r="AA191" i="5"/>
  <c r="E662" i="49"/>
  <c r="G662" i="49" s="1"/>
  <c r="AA302" i="5"/>
  <c r="E800" i="49"/>
  <c r="G800" i="49" s="1"/>
  <c r="E799" i="49"/>
  <c r="G799" i="49" s="1"/>
  <c r="AA378" i="5"/>
  <c r="AA221" i="5"/>
  <c r="E468" i="60"/>
  <c r="G468" i="60" s="1"/>
  <c r="E467" i="60"/>
  <c r="G467" i="60" s="1"/>
  <c r="N32" i="5"/>
  <c r="E772" i="60"/>
  <c r="G772" i="60" s="1"/>
  <c r="E773" i="60"/>
  <c r="G773" i="60" s="1"/>
  <c r="AA345" i="5"/>
  <c r="E117" i="49"/>
  <c r="G117" i="49" s="1"/>
  <c r="E118" i="60"/>
  <c r="G118" i="60" s="1"/>
  <c r="E119" i="60"/>
  <c r="G119" i="60" s="1"/>
  <c r="E118" i="49"/>
  <c r="G118" i="49" s="1"/>
  <c r="E117" i="60"/>
  <c r="G117" i="60" s="1"/>
  <c r="N9" i="5"/>
  <c r="AA55" i="5"/>
  <c r="E350" i="49"/>
  <c r="G350" i="49" s="1"/>
  <c r="E370" i="60"/>
  <c r="G370" i="60" s="1"/>
  <c r="AA190" i="5"/>
  <c r="E369" i="60"/>
  <c r="G369" i="60" s="1"/>
  <c r="E351" i="49"/>
  <c r="G351" i="49" s="1"/>
  <c r="E352" i="49"/>
  <c r="G352" i="49" s="1"/>
  <c r="M30" i="5"/>
  <c r="E368" i="60"/>
  <c r="G368" i="60" s="1"/>
  <c r="E300" i="49"/>
  <c r="G300" i="49" s="1"/>
  <c r="E301" i="49"/>
  <c r="G301" i="49" s="1"/>
  <c r="E343" i="60"/>
  <c r="G343" i="60" s="1"/>
  <c r="AA164" i="5"/>
  <c r="E299" i="49"/>
  <c r="G299" i="49" s="1"/>
  <c r="E410" i="49"/>
  <c r="G410" i="49" s="1"/>
  <c r="E433" i="60"/>
  <c r="G433" i="60" s="1"/>
  <c r="E411" i="49"/>
  <c r="G411" i="49" s="1"/>
  <c r="E434" i="60"/>
  <c r="G434" i="60" s="1"/>
  <c r="E431" i="60"/>
  <c r="G431" i="60" s="1"/>
  <c r="E416" i="49"/>
  <c r="G416" i="49" s="1"/>
  <c r="E418" i="49"/>
  <c r="G418" i="49" s="1"/>
  <c r="E432" i="60"/>
  <c r="G432" i="60" s="1"/>
  <c r="N31" i="5"/>
  <c r="AA205" i="5"/>
  <c r="E412" i="49"/>
  <c r="G412" i="49" s="1"/>
  <c r="E413" i="49"/>
  <c r="G413" i="49" s="1"/>
  <c r="E417" i="49"/>
  <c r="G417" i="49" s="1"/>
  <c r="E415" i="49"/>
  <c r="G415" i="49" s="1"/>
  <c r="E414" i="49"/>
  <c r="G414" i="49" s="1"/>
  <c r="E409" i="49"/>
  <c r="G409" i="49" s="1"/>
  <c r="E408" i="49"/>
  <c r="G408" i="49" s="1"/>
  <c r="E419" i="49"/>
  <c r="G419" i="49" s="1"/>
  <c r="E430" i="60"/>
  <c r="G430" i="60" s="1"/>
  <c r="E429" i="60"/>
  <c r="G429" i="60" s="1"/>
  <c r="E258" i="49"/>
  <c r="G258" i="49" s="1"/>
  <c r="E248" i="60"/>
  <c r="G248" i="60" s="1"/>
  <c r="E259" i="49"/>
  <c r="G259" i="49" s="1"/>
  <c r="E245" i="60"/>
  <c r="G245" i="60" s="1"/>
  <c r="E247" i="60"/>
  <c r="G247" i="60" s="1"/>
  <c r="E260" i="49"/>
  <c r="G260" i="49" s="1"/>
  <c r="E246" i="60"/>
  <c r="G246" i="60" s="1"/>
  <c r="AA119" i="5"/>
  <c r="E48" i="60"/>
  <c r="G48" i="60" s="1"/>
  <c r="E49" i="60"/>
  <c r="G49" i="60" s="1"/>
  <c r="E50" i="60"/>
  <c r="G50" i="60" s="1"/>
  <c r="E51" i="60"/>
  <c r="G51" i="60" s="1"/>
  <c r="E52" i="60"/>
  <c r="G52" i="60" s="1"/>
  <c r="E54" i="49"/>
  <c r="G54" i="49" s="1"/>
  <c r="E55" i="49"/>
  <c r="G55" i="49" s="1"/>
  <c r="AA23" i="5"/>
  <c r="E470" i="60"/>
  <c r="G470" i="60" s="1"/>
  <c r="E469" i="60"/>
  <c r="G469" i="60" s="1"/>
  <c r="E472" i="49"/>
  <c r="G472" i="49" s="1"/>
  <c r="AA222" i="5"/>
  <c r="AA31" i="5"/>
  <c r="E75" i="60"/>
  <c r="G75" i="60" s="1"/>
  <c r="E76" i="60"/>
  <c r="G76" i="60" s="1"/>
  <c r="E77" i="60"/>
  <c r="G77" i="60" s="1"/>
  <c r="E78" i="60"/>
  <c r="G78" i="60" s="1"/>
  <c r="M6" i="5"/>
  <c r="O6" i="5" s="1"/>
  <c r="E561" i="60"/>
  <c r="G561" i="60" s="1"/>
  <c r="E560" i="60"/>
  <c r="G560" i="60" s="1"/>
  <c r="E554" i="49"/>
  <c r="G554" i="49" s="1"/>
  <c r="AA259" i="5"/>
  <c r="E562" i="60"/>
  <c r="G562" i="60" s="1"/>
  <c r="L38" i="5"/>
  <c r="E553" i="49"/>
  <c r="G553" i="49" s="1"/>
  <c r="L53" i="5"/>
  <c r="S41" i="5" s="1"/>
  <c r="E786" i="60"/>
  <c r="G786" i="60" s="1"/>
  <c r="E791" i="60"/>
  <c r="G791" i="60" s="1"/>
  <c r="L54" i="5"/>
  <c r="E740" i="49"/>
  <c r="G740" i="49" s="1"/>
  <c r="E790" i="60"/>
  <c r="G790" i="60" s="1"/>
  <c r="E788" i="60"/>
  <c r="G788" i="60" s="1"/>
  <c r="E787" i="60"/>
  <c r="G787" i="60" s="1"/>
  <c r="E792" i="60"/>
  <c r="G792" i="60" s="1"/>
  <c r="E789" i="60"/>
  <c r="G789" i="60" s="1"/>
  <c r="AA353" i="5"/>
  <c r="E6" i="49"/>
  <c r="G6" i="49" s="1"/>
  <c r="E7" i="49"/>
  <c r="G7" i="49" s="1"/>
  <c r="AA4" i="5"/>
  <c r="E4" i="60"/>
  <c r="G4" i="60" s="1"/>
  <c r="E506" i="49"/>
  <c r="G506" i="49" s="1"/>
  <c r="E505" i="49"/>
  <c r="G505" i="49" s="1"/>
  <c r="AA230" i="5"/>
  <c r="E491" i="60"/>
  <c r="G491" i="60" s="1"/>
  <c r="E287" i="60"/>
  <c r="G287" i="60" s="1"/>
  <c r="E292" i="60"/>
  <c r="G292" i="60" s="1"/>
  <c r="E291" i="60"/>
  <c r="G291" i="60" s="1"/>
  <c r="E290" i="60"/>
  <c r="G290" i="60" s="1"/>
  <c r="E293" i="60"/>
  <c r="G293" i="60" s="1"/>
  <c r="E289" i="60"/>
  <c r="G289" i="60" s="1"/>
  <c r="E288" i="60"/>
  <c r="G288" i="60" s="1"/>
  <c r="AA140" i="5"/>
  <c r="E782" i="60"/>
  <c r="G782" i="60" s="1"/>
  <c r="AA349" i="5"/>
  <c r="E727" i="49"/>
  <c r="G727" i="49" s="1"/>
  <c r="E728" i="49"/>
  <c r="G728" i="49" s="1"/>
  <c r="E729" i="49"/>
  <c r="G729" i="49" s="1"/>
  <c r="E755" i="60"/>
  <c r="G755" i="60" s="1"/>
  <c r="E754" i="60"/>
  <c r="G754" i="60" s="1"/>
  <c r="E756" i="60"/>
  <c r="G756" i="60" s="1"/>
  <c r="E753" i="60"/>
  <c r="G753" i="60" s="1"/>
  <c r="AA338" i="5"/>
  <c r="E716" i="49"/>
  <c r="G716" i="49" s="1"/>
  <c r="AA159" i="5"/>
  <c r="E287" i="49"/>
  <c r="G287" i="49" s="1"/>
  <c r="M25" i="5"/>
  <c r="M24" i="5"/>
  <c r="T43" i="5" s="1"/>
  <c r="E721" i="49"/>
  <c r="G721" i="49" s="1"/>
  <c r="E722" i="49"/>
  <c r="G722" i="49" s="1"/>
  <c r="E766" i="60"/>
  <c r="G766" i="60" s="1"/>
  <c r="AA343" i="5"/>
  <c r="E723" i="49"/>
  <c r="G723" i="49" s="1"/>
  <c r="E765" i="60"/>
  <c r="G765" i="60" s="1"/>
  <c r="E764" i="60"/>
  <c r="G764" i="60" s="1"/>
  <c r="E612" i="49"/>
  <c r="G612" i="49" s="1"/>
  <c r="AA287" i="5"/>
  <c r="E610" i="49"/>
  <c r="G610" i="49" s="1"/>
  <c r="E611" i="49"/>
  <c r="G611" i="49" s="1"/>
  <c r="E168" i="60"/>
  <c r="G168" i="60" s="1"/>
  <c r="E176" i="49"/>
  <c r="G176" i="49" s="1"/>
  <c r="E175" i="49"/>
  <c r="G175" i="49" s="1"/>
  <c r="E167" i="60"/>
  <c r="G167" i="60" s="1"/>
  <c r="E169" i="60"/>
  <c r="G169" i="60" s="1"/>
  <c r="E177" i="49"/>
  <c r="G177" i="49" s="1"/>
  <c r="AA84" i="5"/>
  <c r="E425" i="49"/>
  <c r="G425" i="49" s="1"/>
  <c r="E420" i="49"/>
  <c r="G420" i="49" s="1"/>
  <c r="E437" i="60"/>
  <c r="G437" i="60" s="1"/>
  <c r="E424" i="49"/>
  <c r="G424" i="49" s="1"/>
  <c r="E426" i="49"/>
  <c r="G426" i="49" s="1"/>
  <c r="E421" i="49"/>
  <c r="G421" i="49" s="1"/>
  <c r="E436" i="60"/>
  <c r="G436" i="60" s="1"/>
  <c r="E423" i="49"/>
  <c r="G423" i="49" s="1"/>
  <c r="E435" i="60"/>
  <c r="G435" i="60" s="1"/>
  <c r="E428" i="49"/>
  <c r="G428" i="49" s="1"/>
  <c r="E422" i="49"/>
  <c r="G422" i="49" s="1"/>
  <c r="AA206" i="5"/>
  <c r="E427" i="49"/>
  <c r="G427" i="49" s="1"/>
  <c r="E253" i="49"/>
  <c r="G253" i="49" s="1"/>
  <c r="E241" i="60"/>
  <c r="G241" i="60" s="1"/>
  <c r="E252" i="49"/>
  <c r="G252" i="49" s="1"/>
  <c r="E254" i="49"/>
  <c r="G254" i="49" s="1"/>
  <c r="E239" i="60"/>
  <c r="G239" i="60" s="1"/>
  <c r="E240" i="60"/>
  <c r="G240" i="60" s="1"/>
  <c r="AA117" i="5"/>
  <c r="E242" i="49"/>
  <c r="G242" i="49" s="1"/>
  <c r="AA113" i="5"/>
  <c r="E243" i="49"/>
  <c r="G243" i="49" s="1"/>
  <c r="E233" i="60"/>
  <c r="G233" i="60" s="1"/>
  <c r="E244" i="49"/>
  <c r="G244" i="49" s="1"/>
  <c r="E155" i="60"/>
  <c r="G155" i="60" s="1"/>
  <c r="AA79" i="5"/>
  <c r="E168" i="49"/>
  <c r="G168" i="49" s="1"/>
  <c r="E156" i="60"/>
  <c r="G156" i="60" s="1"/>
  <c r="E158" i="60"/>
  <c r="G158" i="60" s="1"/>
  <c r="E157" i="60"/>
  <c r="G157" i="60" s="1"/>
  <c r="E728" i="60"/>
  <c r="G728" i="60" s="1"/>
  <c r="E700" i="49"/>
  <c r="G700" i="49" s="1"/>
  <c r="E701" i="49"/>
  <c r="G701" i="49" s="1"/>
  <c r="E730" i="60"/>
  <c r="G730" i="60" s="1"/>
  <c r="AA329" i="5"/>
  <c r="E729" i="60"/>
  <c r="G729" i="60" s="1"/>
  <c r="E91" i="49"/>
  <c r="G91" i="49" s="1"/>
  <c r="AA39" i="5"/>
  <c r="E90" i="49"/>
  <c r="G90" i="49" s="1"/>
  <c r="E89" i="60"/>
  <c r="G89" i="60" s="1"/>
  <c r="E355" i="60"/>
  <c r="G355" i="60" s="1"/>
  <c r="AA184" i="5"/>
  <c r="E334" i="49"/>
  <c r="G334" i="49" s="1"/>
  <c r="E333" i="49"/>
  <c r="G333" i="49" s="1"/>
  <c r="E356" i="60"/>
  <c r="G356" i="60" s="1"/>
  <c r="E632" i="60"/>
  <c r="G632" i="60" s="1"/>
  <c r="E634" i="60"/>
  <c r="G634" i="60" s="1"/>
  <c r="AA283" i="5"/>
  <c r="E637" i="60"/>
  <c r="G637" i="60" s="1"/>
  <c r="E636" i="60"/>
  <c r="G636" i="60" s="1"/>
  <c r="E633" i="60"/>
  <c r="G633" i="60" s="1"/>
  <c r="E638" i="60"/>
  <c r="G638" i="60" s="1"/>
  <c r="E631" i="60"/>
  <c r="G631" i="60" s="1"/>
  <c r="E635" i="60"/>
  <c r="G635" i="60" s="1"/>
  <c r="E846" i="60"/>
  <c r="G846" i="60" s="1"/>
  <c r="AA384" i="5"/>
  <c r="E813" i="49"/>
  <c r="G813" i="49" s="1"/>
  <c r="E804" i="49"/>
  <c r="G804" i="49" s="1"/>
  <c r="E809" i="49"/>
  <c r="G809" i="49" s="1"/>
  <c r="AA382" i="5"/>
  <c r="E807" i="49"/>
  <c r="G807" i="49" s="1"/>
  <c r="E805" i="49"/>
  <c r="G805" i="49" s="1"/>
  <c r="E808" i="49"/>
  <c r="G808" i="49" s="1"/>
  <c r="E810" i="49"/>
  <c r="G810" i="49" s="1"/>
  <c r="E811" i="49"/>
  <c r="G811" i="49" s="1"/>
  <c r="E806" i="49"/>
  <c r="G806" i="49" s="1"/>
  <c r="E584" i="49"/>
  <c r="G584" i="49" s="1"/>
  <c r="E591" i="60"/>
  <c r="G591" i="60" s="1"/>
  <c r="AA274" i="5"/>
  <c r="E73" i="60"/>
  <c r="G73" i="60" s="1"/>
  <c r="E74" i="60"/>
  <c r="G74" i="60" s="1"/>
  <c r="E72" i="60"/>
  <c r="G72" i="60" s="1"/>
  <c r="E71" i="60"/>
  <c r="G71" i="60" s="1"/>
  <c r="E70" i="60"/>
  <c r="G70" i="60" s="1"/>
  <c r="AA29" i="5"/>
  <c r="N5" i="5"/>
  <c r="E71" i="49"/>
  <c r="G71" i="49" s="1"/>
  <c r="E72" i="49"/>
  <c r="G72" i="49" s="1"/>
  <c r="M5" i="5"/>
  <c r="E62" i="49"/>
  <c r="G62" i="49" s="1"/>
  <c r="E57" i="60"/>
  <c r="G57" i="60" s="1"/>
  <c r="E60" i="49"/>
  <c r="G60" i="49" s="1"/>
  <c r="E61" i="49"/>
  <c r="G61" i="49" s="1"/>
  <c r="AA26" i="5"/>
  <c r="E58" i="60"/>
  <c r="G58" i="60" s="1"/>
  <c r="E59" i="60"/>
  <c r="G59" i="60" s="1"/>
  <c r="L46" i="5"/>
  <c r="E656" i="49"/>
  <c r="G656" i="49" s="1"/>
  <c r="L45" i="5"/>
  <c r="S40" i="5" s="1"/>
  <c r="E654" i="49"/>
  <c r="G654" i="49" s="1"/>
  <c r="E657" i="49"/>
  <c r="G657" i="49" s="1"/>
  <c r="E653" i="49"/>
  <c r="G653" i="49" s="1"/>
  <c r="E655" i="49"/>
  <c r="G655" i="49" s="1"/>
  <c r="AA298" i="5"/>
  <c r="E744" i="49"/>
  <c r="G744" i="49" s="1"/>
  <c r="E746" i="49"/>
  <c r="G746" i="49" s="1"/>
  <c r="AA357" i="5"/>
  <c r="E818" i="60"/>
  <c r="G818" i="60" s="1"/>
  <c r="E816" i="60"/>
  <c r="G816" i="60" s="1"/>
  <c r="E815" i="60"/>
  <c r="G815" i="60" s="1"/>
  <c r="E748" i="49"/>
  <c r="G748" i="49" s="1"/>
  <c r="E745" i="49"/>
  <c r="G745" i="49" s="1"/>
  <c r="E750" i="49"/>
  <c r="G750" i="49" s="1"/>
  <c r="E817" i="60"/>
  <c r="G817" i="60" s="1"/>
  <c r="E814" i="60"/>
  <c r="G814" i="60" s="1"/>
  <c r="E813" i="60"/>
  <c r="G813" i="60" s="1"/>
  <c r="E749" i="49"/>
  <c r="G749" i="49" s="1"/>
  <c r="E747" i="49"/>
  <c r="G747" i="49" s="1"/>
  <c r="E751" i="49"/>
  <c r="G751" i="49" s="1"/>
  <c r="E99" i="60"/>
  <c r="G99" i="60" s="1"/>
  <c r="E98" i="49"/>
  <c r="G98" i="49" s="1"/>
  <c r="E100" i="60"/>
  <c r="G100" i="60" s="1"/>
  <c r="E96" i="49"/>
  <c r="G96" i="49" s="1"/>
  <c r="AA48" i="5"/>
  <c r="L9" i="5"/>
  <c r="O9" i="5" s="1"/>
  <c r="E97" i="49"/>
  <c r="G97" i="49" s="1"/>
  <c r="E101" i="60"/>
  <c r="G101" i="60" s="1"/>
  <c r="E654" i="60"/>
  <c r="G654" i="60" s="1"/>
  <c r="AA293" i="5"/>
  <c r="E578" i="49"/>
  <c r="G578" i="49" s="1"/>
  <c r="AA269" i="5"/>
  <c r="E584" i="60"/>
  <c r="G584" i="60" s="1"/>
  <c r="AA360" i="5"/>
  <c r="L55" i="5"/>
  <c r="E826" i="60"/>
  <c r="G826" i="60" s="1"/>
  <c r="E754" i="49"/>
  <c r="G754" i="49" s="1"/>
  <c r="AA75" i="5"/>
  <c r="E164" i="49"/>
  <c r="G164" i="49" s="1"/>
  <c r="E150" i="60"/>
  <c r="G150" i="60" s="1"/>
  <c r="E447" i="60"/>
  <c r="G447" i="60" s="1"/>
  <c r="E444" i="49"/>
  <c r="G444" i="49" s="1"/>
  <c r="AA212" i="5"/>
  <c r="E446" i="49"/>
  <c r="G446" i="49" s="1"/>
  <c r="E443" i="49"/>
  <c r="G443" i="49" s="1"/>
  <c r="E445" i="49"/>
  <c r="G445" i="49" s="1"/>
  <c r="E442" i="49"/>
  <c r="G442" i="49" s="1"/>
  <c r="M32" i="5"/>
  <c r="O32" i="5" s="1"/>
  <c r="E323" i="60"/>
  <c r="G323" i="60" s="1"/>
  <c r="E321" i="60"/>
  <c r="G321" i="60" s="1"/>
  <c r="E322" i="60"/>
  <c r="G322" i="60" s="1"/>
  <c r="AA153" i="5"/>
  <c r="E320" i="60"/>
  <c r="G320" i="60" s="1"/>
  <c r="E319" i="60"/>
  <c r="G319" i="60" s="1"/>
  <c r="AA381" i="5"/>
  <c r="E802" i="49"/>
  <c r="G802" i="49" s="1"/>
  <c r="E803" i="49"/>
  <c r="G803" i="49" s="1"/>
  <c r="N58" i="5"/>
  <c r="E110" i="60"/>
  <c r="G110" i="60" s="1"/>
  <c r="E106" i="49"/>
  <c r="G106" i="49" s="1"/>
  <c r="E108" i="49"/>
  <c r="G108" i="49" s="1"/>
  <c r="E109" i="49"/>
  <c r="G109" i="49" s="1"/>
  <c r="E109" i="60"/>
  <c r="G109" i="60" s="1"/>
  <c r="E111" i="60"/>
  <c r="G111" i="60" s="1"/>
  <c r="E107" i="49"/>
  <c r="G107" i="49" s="1"/>
  <c r="AA52" i="5"/>
  <c r="AA12" i="5"/>
  <c r="E11" i="60"/>
  <c r="G11" i="60" s="1"/>
  <c r="E12" i="60"/>
  <c r="G12" i="60" s="1"/>
  <c r="E24" i="49"/>
  <c r="G24" i="49" s="1"/>
  <c r="E21" i="49"/>
  <c r="G21" i="49" s="1"/>
  <c r="L4" i="5"/>
  <c r="O4" i="5" s="1"/>
  <c r="E23" i="49"/>
  <c r="G23" i="49" s="1"/>
  <c r="E22" i="49"/>
  <c r="G22" i="49" s="1"/>
  <c r="E10" i="60"/>
  <c r="G10" i="60" s="1"/>
  <c r="E20" i="49"/>
  <c r="G20" i="49" s="1"/>
  <c r="L14" i="5"/>
  <c r="S34" i="5" s="1"/>
  <c r="AA103" i="5"/>
  <c r="L16" i="5"/>
  <c r="O16" i="5" s="1"/>
  <c r="E228" i="49"/>
  <c r="G228" i="49" s="1"/>
  <c r="E207" i="60"/>
  <c r="G207" i="60" s="1"/>
  <c r="E206" i="60"/>
  <c r="G206" i="60" s="1"/>
  <c r="E208" i="60"/>
  <c r="G208" i="60" s="1"/>
  <c r="E227" i="49"/>
  <c r="G227" i="49" s="1"/>
  <c r="M44" i="5"/>
  <c r="O44" i="5" s="1"/>
  <c r="E653" i="60"/>
  <c r="G653" i="60" s="1"/>
  <c r="AA292" i="5"/>
  <c r="E3" i="60"/>
  <c r="G3" i="60" s="1"/>
  <c r="E4" i="49"/>
  <c r="G4" i="49" s="1"/>
  <c r="AA3" i="5"/>
  <c r="E5" i="49"/>
  <c r="G5" i="49" s="1"/>
  <c r="E565" i="49"/>
  <c r="G565" i="49" s="1"/>
  <c r="E566" i="49"/>
  <c r="G566" i="49" s="1"/>
  <c r="AA266" i="5"/>
  <c r="E578" i="60"/>
  <c r="G578" i="60" s="1"/>
  <c r="E567" i="49"/>
  <c r="G567" i="49" s="1"/>
  <c r="E568" i="49"/>
  <c r="G568" i="49" s="1"/>
  <c r="E579" i="60"/>
  <c r="G579" i="60" s="1"/>
  <c r="N39" i="5"/>
  <c r="E250" i="60"/>
  <c r="G250" i="60" s="1"/>
  <c r="E249" i="60"/>
  <c r="G249" i="60" s="1"/>
  <c r="E261" i="49"/>
  <c r="G261" i="49" s="1"/>
  <c r="AA120" i="5"/>
  <c r="E262" i="49"/>
  <c r="G262" i="49" s="1"/>
  <c r="E144" i="60"/>
  <c r="G144" i="60" s="1"/>
  <c r="E146" i="49"/>
  <c r="G146" i="49" s="1"/>
  <c r="E149" i="49"/>
  <c r="G149" i="49" s="1"/>
  <c r="AA68" i="5"/>
  <c r="E147" i="49"/>
  <c r="G147" i="49" s="1"/>
  <c r="E145" i="60"/>
  <c r="G145" i="60" s="1"/>
  <c r="E148" i="49"/>
  <c r="G148" i="49" s="1"/>
  <c r="AA33" i="5"/>
  <c r="E77" i="49"/>
  <c r="E79" i="49"/>
  <c r="G79" i="49" s="1"/>
  <c r="E83" i="60"/>
  <c r="G83" i="60" s="1"/>
  <c r="E78" i="49"/>
  <c r="G78" i="49" s="1"/>
  <c r="E152" i="49"/>
  <c r="G152" i="49" s="1"/>
  <c r="E153" i="49"/>
  <c r="G153" i="49" s="1"/>
  <c r="E150" i="49"/>
  <c r="G150" i="49" s="1"/>
  <c r="E151" i="49"/>
  <c r="G151" i="49" s="1"/>
  <c r="E146" i="60"/>
  <c r="G146" i="60" s="1"/>
  <c r="E154" i="49"/>
  <c r="G154" i="49" s="1"/>
  <c r="AA69" i="5"/>
  <c r="AA114" i="5"/>
  <c r="E234" i="60"/>
  <c r="G234" i="60" s="1"/>
  <c r="E246" i="49"/>
  <c r="G246" i="49" s="1"/>
  <c r="E245" i="49"/>
  <c r="G245" i="49" s="1"/>
  <c r="E783" i="60"/>
  <c r="G783" i="60" s="1"/>
  <c r="E738" i="49"/>
  <c r="G738" i="49" s="1"/>
  <c r="AA351" i="5"/>
  <c r="E784" i="60"/>
  <c r="G784" i="60" s="1"/>
  <c r="E336" i="60"/>
  <c r="G336" i="60" s="1"/>
  <c r="E334" i="60"/>
  <c r="G334" i="60" s="1"/>
  <c r="AA156" i="5"/>
  <c r="E335" i="60"/>
  <c r="G335" i="60" s="1"/>
  <c r="E333" i="60"/>
  <c r="G333" i="60" s="1"/>
  <c r="E620" i="60"/>
  <c r="G620" i="60" s="1"/>
  <c r="AA280" i="5"/>
  <c r="E541" i="49"/>
  <c r="G541" i="49" s="1"/>
  <c r="AA252" i="5"/>
  <c r="E541" i="60"/>
  <c r="G541" i="60" s="1"/>
  <c r="L37" i="5"/>
  <c r="E540" i="60"/>
  <c r="G540" i="60" s="1"/>
  <c r="E539" i="60"/>
  <c r="G539" i="60" s="1"/>
  <c r="E540" i="49"/>
  <c r="G540" i="49" s="1"/>
  <c r="E36" i="49"/>
  <c r="G36" i="49" s="1"/>
  <c r="E30" i="60"/>
  <c r="G30" i="60" s="1"/>
  <c r="E31" i="60"/>
  <c r="G31" i="60" s="1"/>
  <c r="E32" i="60"/>
  <c r="G32" i="60" s="1"/>
  <c r="AA17" i="5"/>
  <c r="AA374" i="5"/>
  <c r="E840" i="60"/>
  <c r="G840" i="60" s="1"/>
  <c r="E794" i="49"/>
  <c r="G794" i="49" s="1"/>
  <c r="N55" i="5"/>
  <c r="E830" i="60"/>
  <c r="G830" i="60" s="1"/>
  <c r="AA364" i="5"/>
  <c r="AA176" i="5"/>
  <c r="M27" i="5"/>
  <c r="O27" i="5" s="1"/>
  <c r="E385" i="49"/>
  <c r="G385" i="49" s="1"/>
  <c r="E389" i="49"/>
  <c r="G389" i="49" s="1"/>
  <c r="AA201" i="5"/>
  <c r="E390" i="49"/>
  <c r="G390" i="49" s="1"/>
  <c r="E408" i="60"/>
  <c r="G408" i="60" s="1"/>
  <c r="E410" i="60"/>
  <c r="G410" i="60" s="1"/>
  <c r="E407" i="60"/>
  <c r="G407" i="60" s="1"/>
  <c r="E391" i="49"/>
  <c r="G391" i="49" s="1"/>
  <c r="E411" i="60"/>
  <c r="G411" i="60" s="1"/>
  <c r="E412" i="60"/>
  <c r="G412" i="60" s="1"/>
  <c r="E409" i="60"/>
  <c r="G409" i="60" s="1"/>
  <c r="E386" i="49"/>
  <c r="G386" i="49" s="1"/>
  <c r="E392" i="49"/>
  <c r="G392" i="49" s="1"/>
  <c r="E388" i="49"/>
  <c r="G388" i="49" s="1"/>
  <c r="E387" i="49"/>
  <c r="G387" i="49" s="1"/>
  <c r="E393" i="49"/>
  <c r="G393" i="49" s="1"/>
  <c r="AA241" i="5"/>
  <c r="E509" i="60"/>
  <c r="G509" i="60" s="1"/>
  <c r="E510" i="60"/>
  <c r="G510" i="60" s="1"/>
  <c r="E555" i="49"/>
  <c r="G555" i="49" s="1"/>
  <c r="E565" i="60"/>
  <c r="G565" i="60" s="1"/>
  <c r="AA260" i="5"/>
  <c r="E567" i="60"/>
  <c r="G567" i="60" s="1"/>
  <c r="E568" i="60"/>
  <c r="G568" i="60" s="1"/>
  <c r="E556" i="49"/>
  <c r="G556" i="49" s="1"/>
  <c r="E563" i="60"/>
  <c r="G563" i="60" s="1"/>
  <c r="E566" i="60"/>
  <c r="G566" i="60" s="1"/>
  <c r="E564" i="60"/>
  <c r="G564" i="60" s="1"/>
  <c r="M38" i="5"/>
  <c r="O38" i="5" s="1"/>
  <c r="AA363" i="5"/>
  <c r="E756" i="49"/>
  <c r="G756" i="49" s="1"/>
  <c r="E829" i="60"/>
  <c r="G829" i="60" s="1"/>
  <c r="E123" i="60"/>
  <c r="G123" i="60" s="1"/>
  <c r="E121" i="49"/>
  <c r="G121" i="49" s="1"/>
  <c r="E122" i="49"/>
  <c r="G122" i="49" s="1"/>
  <c r="AA57" i="5"/>
  <c r="E124" i="60"/>
  <c r="G124" i="60" s="1"/>
  <c r="E248" i="49"/>
  <c r="G248" i="49" s="1"/>
  <c r="E235" i="60"/>
  <c r="G235" i="60" s="1"/>
  <c r="AA115" i="5"/>
  <c r="E247" i="49"/>
  <c r="G247" i="49" s="1"/>
  <c r="N17" i="5"/>
  <c r="AA77" i="5"/>
  <c r="E152" i="60"/>
  <c r="G152" i="60" s="1"/>
  <c r="E167" i="49"/>
  <c r="G167" i="49" s="1"/>
  <c r="E564" i="49"/>
  <c r="G564" i="49" s="1"/>
  <c r="E563" i="49"/>
  <c r="G563" i="49" s="1"/>
  <c r="M39" i="5"/>
  <c r="AA264" i="5"/>
  <c r="E576" i="60"/>
  <c r="G576" i="60" s="1"/>
  <c r="E191" i="49"/>
  <c r="G191" i="49" s="1"/>
  <c r="E192" i="49"/>
  <c r="G192" i="49" s="1"/>
  <c r="AA91" i="5"/>
  <c r="E193" i="49"/>
  <c r="G193" i="49" s="1"/>
  <c r="N13" i="5"/>
  <c r="O13" i="5" s="1"/>
  <c r="E194" i="49"/>
  <c r="G194" i="49" s="1"/>
  <c r="E446" i="60"/>
  <c r="G446" i="60" s="1"/>
  <c r="AA211" i="5"/>
  <c r="E441" i="49"/>
  <c r="G441" i="49" s="1"/>
  <c r="E440" i="49"/>
  <c r="G440" i="49" s="1"/>
  <c r="E445" i="60"/>
  <c r="G445" i="60" s="1"/>
  <c r="E595" i="49"/>
  <c r="G595" i="49" s="1"/>
  <c r="E602" i="60"/>
  <c r="G602" i="60" s="1"/>
  <c r="E590" i="49"/>
  <c r="G590" i="49" s="1"/>
  <c r="E603" i="60"/>
  <c r="G603" i="60" s="1"/>
  <c r="E592" i="49"/>
  <c r="G592" i="49" s="1"/>
  <c r="E589" i="49"/>
  <c r="G589" i="49" s="1"/>
  <c r="E606" i="60"/>
  <c r="G606" i="60" s="1"/>
  <c r="E596" i="49"/>
  <c r="G596" i="49" s="1"/>
  <c r="E588" i="49"/>
  <c r="G588" i="49" s="1"/>
  <c r="E597" i="49"/>
  <c r="G597" i="49" s="1"/>
  <c r="E591" i="49"/>
  <c r="G591" i="49" s="1"/>
  <c r="E605" i="60"/>
  <c r="G605" i="60" s="1"/>
  <c r="E607" i="60"/>
  <c r="G607" i="60" s="1"/>
  <c r="E593" i="49"/>
  <c r="G593" i="49" s="1"/>
  <c r="E601" i="60"/>
  <c r="G601" i="60" s="1"/>
  <c r="AA277" i="5"/>
  <c r="E604" i="60"/>
  <c r="G604" i="60" s="1"/>
  <c r="E594" i="49"/>
  <c r="G594" i="49" s="1"/>
  <c r="E304" i="49"/>
  <c r="G304" i="49" s="1"/>
  <c r="AA170" i="5"/>
  <c r="E306" i="49"/>
  <c r="G306" i="49" s="1"/>
  <c r="E305" i="49"/>
  <c r="G305" i="49" s="1"/>
  <c r="AA125" i="5"/>
  <c r="E255" i="60"/>
  <c r="G255" i="60" s="1"/>
  <c r="M19" i="5"/>
  <c r="O19" i="5" s="1"/>
  <c r="E254" i="60"/>
  <c r="G254" i="60" s="1"/>
  <c r="AA40" i="5"/>
  <c r="E90" i="60"/>
  <c r="G90" i="60" s="1"/>
  <c r="E92" i="49"/>
  <c r="G92" i="49" s="1"/>
  <c r="E173" i="60"/>
  <c r="G173" i="60" s="1"/>
  <c r="E181" i="49"/>
  <c r="G181" i="49" s="1"/>
  <c r="E182" i="49"/>
  <c r="G182" i="49" s="1"/>
  <c r="AA86" i="5"/>
  <c r="E183" i="49"/>
  <c r="G183" i="49" s="1"/>
  <c r="E217" i="60"/>
  <c r="G217" i="60" s="1"/>
  <c r="E218" i="60"/>
  <c r="G218" i="60" s="1"/>
  <c r="AA107" i="5"/>
  <c r="E831" i="60"/>
  <c r="G831" i="60" s="1"/>
  <c r="AA365" i="5"/>
  <c r="E483" i="49"/>
  <c r="G483" i="49" s="1"/>
  <c r="AA225" i="5"/>
  <c r="E483" i="60"/>
  <c r="G483" i="60" s="1"/>
  <c r="E484" i="60"/>
  <c r="G484" i="60" s="1"/>
  <c r="E487" i="49"/>
  <c r="G487" i="49" s="1"/>
  <c r="M33" i="5"/>
  <c r="O33" i="5" s="1"/>
  <c r="E484" i="49"/>
  <c r="G484" i="49" s="1"/>
  <c r="E486" i="49"/>
  <c r="G486" i="49" s="1"/>
  <c r="E485" i="49"/>
  <c r="G485" i="49" s="1"/>
  <c r="E161" i="49"/>
  <c r="G161" i="49" s="1"/>
  <c r="AA72" i="5"/>
  <c r="E160" i="49"/>
  <c r="G160" i="49" s="1"/>
  <c r="E159" i="49"/>
  <c r="G159" i="49" s="1"/>
  <c r="E158" i="49"/>
  <c r="G158" i="49" s="1"/>
  <c r="E68" i="60"/>
  <c r="G68" i="60" s="1"/>
  <c r="E67" i="49"/>
  <c r="G67" i="49" s="1"/>
  <c r="E69" i="60"/>
  <c r="G69" i="60" s="1"/>
  <c r="E66" i="49"/>
  <c r="G66" i="49" s="1"/>
  <c r="E65" i="49"/>
  <c r="G65" i="49" s="1"/>
  <c r="AA28" i="5"/>
  <c r="E70" i="49"/>
  <c r="G70" i="49" s="1"/>
  <c r="E68" i="49"/>
  <c r="G68" i="49" s="1"/>
  <c r="E67" i="60"/>
  <c r="G67" i="60" s="1"/>
  <c r="E69" i="49"/>
  <c r="G69" i="49" s="1"/>
  <c r="AA149" i="5"/>
  <c r="E308" i="60"/>
  <c r="G308" i="60" s="1"/>
  <c r="E307" i="60"/>
  <c r="G307" i="60" s="1"/>
  <c r="AA65" i="5"/>
  <c r="E140" i="60"/>
  <c r="G140" i="60" s="1"/>
  <c r="E142" i="49"/>
  <c r="G142" i="49" s="1"/>
  <c r="E554" i="60"/>
  <c r="G554" i="60" s="1"/>
  <c r="E556" i="60"/>
  <c r="G556" i="60" s="1"/>
  <c r="E555" i="60"/>
  <c r="G555" i="60" s="1"/>
  <c r="AA257" i="5"/>
  <c r="E199" i="49"/>
  <c r="G199" i="49" s="1"/>
  <c r="AA92" i="5"/>
  <c r="E196" i="49"/>
  <c r="G196" i="49" s="1"/>
  <c r="E195" i="49"/>
  <c r="G195" i="49" s="1"/>
  <c r="E202" i="49"/>
  <c r="G202" i="49" s="1"/>
  <c r="E200" i="49"/>
  <c r="G200" i="49" s="1"/>
  <c r="E197" i="49"/>
  <c r="G197" i="49" s="1"/>
  <c r="E198" i="49"/>
  <c r="G198" i="49" s="1"/>
  <c r="E201" i="49"/>
  <c r="G201" i="49" s="1"/>
  <c r="E775" i="60"/>
  <c r="G775" i="60" s="1"/>
  <c r="E777" i="60"/>
  <c r="G777" i="60" s="1"/>
  <c r="AA346" i="5"/>
  <c r="E778" i="60"/>
  <c r="G778" i="60" s="1"/>
  <c r="E779" i="60"/>
  <c r="G779" i="60" s="1"/>
  <c r="E724" i="49"/>
  <c r="G724" i="49" s="1"/>
  <c r="E774" i="60"/>
  <c r="G774" i="60" s="1"/>
  <c r="E776" i="60"/>
  <c r="G776" i="60" s="1"/>
  <c r="E286" i="49"/>
  <c r="G286" i="49" s="1"/>
  <c r="AA158" i="5"/>
  <c r="L25" i="5"/>
  <c r="L24" i="5"/>
  <c r="S43" i="5" s="1"/>
  <c r="N52" i="5"/>
  <c r="E739" i="49"/>
  <c r="G739" i="49" s="1"/>
  <c r="E785" i="60"/>
  <c r="G785" i="60" s="1"/>
  <c r="AA352" i="5"/>
  <c r="E454" i="49"/>
  <c r="G454" i="49" s="1"/>
  <c r="E456" i="49"/>
  <c r="G456" i="49" s="1"/>
  <c r="E453" i="60"/>
  <c r="G453" i="60" s="1"/>
  <c r="AA214" i="5"/>
  <c r="E455" i="49"/>
  <c r="G455" i="49" s="1"/>
  <c r="E451" i="60"/>
  <c r="G451" i="60" s="1"/>
  <c r="E453" i="49"/>
  <c r="G453" i="49" s="1"/>
  <c r="E452" i="60"/>
  <c r="G452" i="60" s="1"/>
  <c r="E452" i="49"/>
  <c r="G452" i="49" s="1"/>
  <c r="E458" i="49"/>
  <c r="G458" i="49" s="1"/>
  <c r="E455" i="60"/>
  <c r="G455" i="60" s="1"/>
  <c r="E454" i="60"/>
  <c r="G454" i="60" s="1"/>
  <c r="E456" i="60"/>
  <c r="G456" i="60" s="1"/>
  <c r="AA215" i="5"/>
  <c r="E457" i="49"/>
  <c r="G457" i="49" s="1"/>
  <c r="E121" i="60"/>
  <c r="G121" i="60" s="1"/>
  <c r="E119" i="49"/>
  <c r="G119" i="49" s="1"/>
  <c r="E120" i="60"/>
  <c r="G120" i="60" s="1"/>
  <c r="E120" i="49"/>
  <c r="G120" i="49" s="1"/>
  <c r="AA56" i="5"/>
  <c r="E122" i="60"/>
  <c r="G122" i="60" s="1"/>
  <c r="E163" i="60"/>
  <c r="G163" i="60" s="1"/>
  <c r="E164" i="60"/>
  <c r="G164" i="60" s="1"/>
  <c r="AA82" i="5"/>
  <c r="E172" i="49"/>
  <c r="G172" i="49" s="1"/>
  <c r="E171" i="49"/>
  <c r="G171" i="49" s="1"/>
  <c r="M12" i="5"/>
  <c r="AA347" i="5"/>
  <c r="E726" i="49"/>
  <c r="G726" i="49" s="1"/>
  <c r="E725" i="49"/>
  <c r="G725" i="49" s="1"/>
  <c r="M52" i="5"/>
  <c r="E780" i="60"/>
  <c r="G780" i="60" s="1"/>
  <c r="E463" i="60"/>
  <c r="G463" i="60" s="1"/>
  <c r="AA219" i="5"/>
  <c r="E469" i="49"/>
  <c r="G469" i="49" s="1"/>
  <c r="E462" i="60"/>
  <c r="G462" i="60" s="1"/>
  <c r="E537" i="60"/>
  <c r="G537" i="60" s="1"/>
  <c r="E536" i="60"/>
  <c r="G536" i="60" s="1"/>
  <c r="AA251" i="5"/>
  <c r="E538" i="49"/>
  <c r="G538" i="49" s="1"/>
  <c r="E537" i="49"/>
  <c r="G537" i="49" s="1"/>
  <c r="E538" i="60"/>
  <c r="G538" i="60" s="1"/>
  <c r="E536" i="49"/>
  <c r="G536" i="49" s="1"/>
  <c r="E535" i="49"/>
  <c r="G535" i="49" s="1"/>
  <c r="E539" i="49"/>
  <c r="G539" i="49" s="1"/>
  <c r="E100" i="49"/>
  <c r="G100" i="49" s="1"/>
  <c r="AA49" i="5"/>
  <c r="E102" i="60"/>
  <c r="G102" i="60" s="1"/>
  <c r="E103" i="60"/>
  <c r="G103" i="60" s="1"/>
  <c r="E99" i="49"/>
  <c r="G99" i="49" s="1"/>
  <c r="E283" i="60"/>
  <c r="G283" i="60" s="1"/>
  <c r="E281" i="60"/>
  <c r="G281" i="60" s="1"/>
  <c r="E280" i="60"/>
  <c r="G280" i="60" s="1"/>
  <c r="E285" i="60"/>
  <c r="G285" i="60" s="1"/>
  <c r="E282" i="60"/>
  <c r="G282" i="60" s="1"/>
  <c r="E286" i="60"/>
  <c r="G286" i="60" s="1"/>
  <c r="AA139" i="5"/>
  <c r="E284" i="60"/>
  <c r="G284" i="60" s="1"/>
  <c r="L22" i="5"/>
  <c r="O22" i="5" s="1"/>
  <c r="E29" i="60"/>
  <c r="G29" i="60" s="1"/>
  <c r="AA16" i="5"/>
  <c r="E26" i="60"/>
  <c r="G26" i="60" s="1"/>
  <c r="E27" i="60"/>
  <c r="G27" i="60" s="1"/>
  <c r="E35" i="49"/>
  <c r="G35" i="49" s="1"/>
  <c r="E28" i="60"/>
  <c r="G28" i="60" s="1"/>
  <c r="E85" i="60"/>
  <c r="G85" i="60" s="1"/>
  <c r="AA35" i="5"/>
  <c r="E88" i="49"/>
  <c r="G88" i="49" s="1"/>
  <c r="E84" i="60"/>
  <c r="AA109" i="5"/>
  <c r="E223" i="60"/>
  <c r="G223" i="60" s="1"/>
  <c r="E222" i="60"/>
  <c r="G222" i="60" s="1"/>
  <c r="E234" i="49"/>
  <c r="G234" i="49" s="1"/>
  <c r="E495" i="49"/>
  <c r="G495" i="49" s="1"/>
  <c r="E499" i="49"/>
  <c r="G499" i="49" s="1"/>
  <c r="E497" i="49"/>
  <c r="G497" i="49" s="1"/>
  <c r="E501" i="49"/>
  <c r="G501" i="49" s="1"/>
  <c r="E496" i="49"/>
  <c r="G496" i="49" s="1"/>
  <c r="E500" i="49"/>
  <c r="G500" i="49" s="1"/>
  <c r="E502" i="49"/>
  <c r="G502" i="49" s="1"/>
  <c r="E498" i="49"/>
  <c r="G498" i="49" s="1"/>
  <c r="E487" i="60"/>
  <c r="G487" i="60" s="1"/>
  <c r="E494" i="49"/>
  <c r="G494" i="49" s="1"/>
  <c r="E493" i="49"/>
  <c r="G493" i="49" s="1"/>
  <c r="AA228" i="5"/>
  <c r="E123" i="49"/>
  <c r="G123" i="49" s="1"/>
  <c r="AA58" i="5"/>
  <c r="E126" i="60"/>
  <c r="G126" i="60" s="1"/>
  <c r="E125" i="60"/>
  <c r="G125" i="60" s="1"/>
  <c r="E126" i="49"/>
  <c r="G126" i="49" s="1"/>
  <c r="E125" i="49"/>
  <c r="G125" i="49" s="1"/>
  <c r="E124" i="49"/>
  <c r="G124" i="49" s="1"/>
  <c r="L2" i="5"/>
  <c r="S37" i="5" s="1"/>
  <c r="L3" i="5"/>
  <c r="O3" i="5" s="1"/>
  <c r="E2" i="60"/>
  <c r="E3" i="49"/>
  <c r="G3" i="49" s="1"/>
  <c r="AA2" i="5"/>
  <c r="E2" i="49"/>
  <c r="AA59" i="5"/>
  <c r="E128" i="60"/>
  <c r="G128" i="60" s="1"/>
  <c r="E127" i="60"/>
  <c r="G127" i="60" s="1"/>
  <c r="E128" i="49"/>
  <c r="E127" i="49"/>
  <c r="G127" i="49" s="1"/>
  <c r="E129" i="60"/>
  <c r="G129" i="60" s="1"/>
  <c r="E670" i="49"/>
  <c r="G670" i="49" s="1"/>
  <c r="AA316" i="5"/>
  <c r="E671" i="49"/>
  <c r="G671" i="49" s="1"/>
  <c r="E325" i="60"/>
  <c r="G325" i="60" s="1"/>
  <c r="E326" i="60"/>
  <c r="G326" i="60" s="1"/>
  <c r="M23" i="5"/>
  <c r="AA154" i="5"/>
  <c r="E324" i="60"/>
  <c r="G324" i="60" s="1"/>
  <c r="E274" i="60"/>
  <c r="G274" i="60" s="1"/>
  <c r="E276" i="60"/>
  <c r="G276" i="60" s="1"/>
  <c r="E275" i="60"/>
  <c r="G275" i="60" s="1"/>
  <c r="E273" i="60"/>
  <c r="G273" i="60" s="1"/>
  <c r="AA136" i="5"/>
  <c r="N54" i="5"/>
  <c r="E823" i="60"/>
  <c r="G823" i="60" s="1"/>
  <c r="E819" i="60"/>
  <c r="G819" i="60" s="1"/>
  <c r="E821" i="60"/>
  <c r="G821" i="60" s="1"/>
  <c r="E822" i="60"/>
  <c r="G822" i="60" s="1"/>
  <c r="AA358" i="5"/>
  <c r="E820" i="60"/>
  <c r="G820" i="60" s="1"/>
  <c r="E752" i="49"/>
  <c r="G752" i="49" s="1"/>
  <c r="N53" i="5"/>
  <c r="U41" i="5" s="1"/>
  <c r="E825" i="60"/>
  <c r="G825" i="60" s="1"/>
  <c r="E824" i="60"/>
  <c r="G824" i="60" s="1"/>
  <c r="E525" i="60"/>
  <c r="G525" i="60" s="1"/>
  <c r="E526" i="60"/>
  <c r="G526" i="60" s="1"/>
  <c r="E532" i="49"/>
  <c r="G532" i="49" s="1"/>
  <c r="AA247" i="5"/>
  <c r="E524" i="60"/>
  <c r="G524" i="60" s="1"/>
  <c r="E527" i="60"/>
  <c r="G527" i="60" s="1"/>
  <c r="E531" i="49"/>
  <c r="G531" i="49" s="1"/>
  <c r="E16" i="60"/>
  <c r="G16" i="60" s="1"/>
  <c r="AA13" i="5"/>
  <c r="E26" i="49"/>
  <c r="G26" i="49" s="1"/>
  <c r="E13" i="60"/>
  <c r="G13" i="60" s="1"/>
  <c r="E15" i="60"/>
  <c r="G15" i="60" s="1"/>
  <c r="E14" i="60"/>
  <c r="G14" i="60" s="1"/>
  <c r="E27" i="49"/>
  <c r="G27" i="49" s="1"/>
  <c r="E25" i="49"/>
  <c r="G25" i="49" s="1"/>
  <c r="E28" i="49"/>
  <c r="G28" i="49" s="1"/>
  <c r="E313" i="60"/>
  <c r="G313" i="60" s="1"/>
  <c r="AA151" i="5"/>
  <c r="E312" i="60"/>
  <c r="G312" i="60" s="1"/>
  <c r="E314" i="60"/>
  <c r="G314" i="60" s="1"/>
  <c r="E587" i="60"/>
  <c r="G587" i="60" s="1"/>
  <c r="E588" i="60"/>
  <c r="G588" i="60" s="1"/>
  <c r="AA271" i="5"/>
  <c r="E581" i="49"/>
  <c r="G581" i="49" s="1"/>
  <c r="M41" i="5"/>
  <c r="M40" i="5"/>
  <c r="T38" i="5" s="1"/>
  <c r="E699" i="49"/>
  <c r="G699" i="49" s="1"/>
  <c r="AA328" i="5"/>
  <c r="E724" i="60"/>
  <c r="G724" i="60" s="1"/>
  <c r="E726" i="60"/>
  <c r="G726" i="60" s="1"/>
  <c r="E725" i="60"/>
  <c r="G725" i="60" s="1"/>
  <c r="E727" i="60"/>
  <c r="G727" i="60" s="1"/>
  <c r="E698" i="49"/>
  <c r="G698" i="49" s="1"/>
  <c r="AA244" i="5"/>
  <c r="E518" i="60"/>
  <c r="G518" i="60" s="1"/>
  <c r="E517" i="60"/>
  <c r="G517" i="60" s="1"/>
  <c r="AA223" i="5"/>
  <c r="E473" i="49"/>
  <c r="G473" i="49" s="1"/>
  <c r="E474" i="60"/>
  <c r="G474" i="60" s="1"/>
  <c r="E475" i="49"/>
  <c r="G475" i="49" s="1"/>
  <c r="E474" i="49"/>
  <c r="G474" i="49" s="1"/>
  <c r="E471" i="60"/>
  <c r="G471" i="60" s="1"/>
  <c r="E472" i="60"/>
  <c r="G472" i="60" s="1"/>
  <c r="E476" i="49"/>
  <c r="G476" i="49" s="1"/>
  <c r="E473" i="60"/>
  <c r="G473" i="60" s="1"/>
  <c r="E475" i="60"/>
  <c r="G475" i="60" s="1"/>
  <c r="E477" i="49"/>
  <c r="G477" i="49" s="1"/>
  <c r="E257" i="60"/>
  <c r="G257" i="60" s="1"/>
  <c r="E256" i="60"/>
  <c r="G256" i="60" s="1"/>
  <c r="AA126" i="5"/>
  <c r="E736" i="60"/>
  <c r="G736" i="60" s="1"/>
  <c r="E734" i="60"/>
  <c r="G734" i="60" s="1"/>
  <c r="AA331" i="5"/>
  <c r="E703" i="49"/>
  <c r="G703" i="49" s="1"/>
  <c r="E702" i="49"/>
  <c r="G702" i="49" s="1"/>
  <c r="E733" i="60"/>
  <c r="G733" i="60" s="1"/>
  <c r="E735" i="60"/>
  <c r="G735" i="60" s="1"/>
  <c r="E264" i="60"/>
  <c r="G264" i="60" s="1"/>
  <c r="AA131" i="5"/>
  <c r="E265" i="60"/>
  <c r="G265" i="60" s="1"/>
  <c r="L21" i="5"/>
  <c r="O21" i="5" s="1"/>
  <c r="L20" i="5"/>
  <c r="S33" i="5" s="1"/>
  <c r="E617" i="49"/>
  <c r="G617" i="49" s="1"/>
  <c r="E615" i="49"/>
  <c r="G615" i="49" s="1"/>
  <c r="AA288" i="5"/>
  <c r="E614" i="49"/>
  <c r="G614" i="49" s="1"/>
  <c r="E616" i="49"/>
  <c r="G616" i="49" s="1"/>
  <c r="E613" i="49"/>
  <c r="G613" i="49" s="1"/>
  <c r="E619" i="49"/>
  <c r="G619" i="49" s="1"/>
  <c r="N43" i="5"/>
  <c r="E618" i="49"/>
  <c r="G618" i="49" s="1"/>
  <c r="E271" i="60"/>
  <c r="G271" i="60" s="1"/>
  <c r="E272" i="60"/>
  <c r="G272" i="60" s="1"/>
  <c r="M21" i="5"/>
  <c r="AA135" i="5"/>
  <c r="M20" i="5"/>
  <c r="T33" i="5" s="1"/>
  <c r="AA10" i="5"/>
  <c r="E17" i="49"/>
  <c r="G17" i="49" s="1"/>
  <c r="N2" i="5"/>
  <c r="U37" i="5" s="1"/>
  <c r="E272" i="49"/>
  <c r="G272" i="49" s="1"/>
  <c r="E273" i="49"/>
  <c r="G273" i="49" s="1"/>
  <c r="AA124" i="5"/>
  <c r="E174" i="49"/>
  <c r="G174" i="49" s="1"/>
  <c r="E166" i="60"/>
  <c r="G166" i="60" s="1"/>
  <c r="E165" i="60"/>
  <c r="G165" i="60" s="1"/>
  <c r="E173" i="49"/>
  <c r="G173" i="49" s="1"/>
  <c r="AA83" i="5"/>
  <c r="E365" i="49"/>
  <c r="G365" i="49" s="1"/>
  <c r="E388" i="60"/>
  <c r="G388" i="60" s="1"/>
  <c r="AA196" i="5"/>
  <c r="E389" i="60"/>
  <c r="G389" i="60" s="1"/>
  <c r="E390" i="60"/>
  <c r="G390" i="60" s="1"/>
  <c r="E366" i="49"/>
  <c r="G366" i="49" s="1"/>
  <c r="AA147" i="5"/>
  <c r="E304" i="60"/>
  <c r="G304" i="60" s="1"/>
  <c r="E303" i="60"/>
  <c r="G303" i="60" s="1"/>
  <c r="M47" i="5"/>
  <c r="AA310" i="5"/>
  <c r="E667" i="49"/>
  <c r="G667" i="49" s="1"/>
  <c r="E666" i="49"/>
  <c r="G666" i="49" s="1"/>
  <c r="E25" i="60"/>
  <c r="G25" i="60" s="1"/>
  <c r="E24" i="60"/>
  <c r="G24" i="60" s="1"/>
  <c r="E34" i="49"/>
  <c r="G34" i="49" s="1"/>
  <c r="AA15" i="5"/>
  <c r="E22" i="60"/>
  <c r="G22" i="60" s="1"/>
  <c r="E23" i="60"/>
  <c r="G23" i="60" s="1"/>
  <c r="M18" i="5"/>
  <c r="E256" i="49"/>
  <c r="G256" i="49" s="1"/>
  <c r="E242" i="60"/>
  <c r="G242" i="60" s="1"/>
  <c r="E244" i="60"/>
  <c r="G244" i="60" s="1"/>
  <c r="E243" i="60"/>
  <c r="G243" i="60" s="1"/>
  <c r="AA118" i="5"/>
  <c r="E255" i="49"/>
  <c r="G255" i="49" s="1"/>
  <c r="E257" i="49"/>
  <c r="G257" i="49" s="1"/>
  <c r="AA246" i="5"/>
  <c r="E521" i="60"/>
  <c r="G521" i="60" s="1"/>
  <c r="E523" i="60"/>
  <c r="G523" i="60" s="1"/>
  <c r="E522" i="60"/>
  <c r="G522" i="60" s="1"/>
  <c r="N34" i="5"/>
  <c r="U36" i="5" s="1"/>
  <c r="N36" i="5"/>
  <c r="O36" i="5" s="1"/>
  <c r="AA129" i="5"/>
  <c r="E261" i="60"/>
  <c r="G261" i="60" s="1"/>
  <c r="E284" i="49"/>
  <c r="G284" i="49" s="1"/>
  <c r="E262" i="60"/>
  <c r="G262" i="60" s="1"/>
  <c r="E760" i="60"/>
  <c r="G760" i="60" s="1"/>
  <c r="M51" i="5"/>
  <c r="E719" i="49"/>
  <c r="G719" i="49" s="1"/>
  <c r="AA340" i="5"/>
  <c r="E761" i="60"/>
  <c r="G761" i="60" s="1"/>
  <c r="E768" i="60"/>
  <c r="G768" i="60" s="1"/>
  <c r="E770" i="60"/>
  <c r="G770" i="60" s="1"/>
  <c r="E767" i="60"/>
  <c r="G767" i="60" s="1"/>
  <c r="AA344" i="5"/>
  <c r="E769" i="60"/>
  <c r="G769" i="60" s="1"/>
  <c r="E771" i="60"/>
  <c r="G771" i="60" s="1"/>
  <c r="N51" i="5"/>
  <c r="AA321" i="5"/>
  <c r="E684" i="49"/>
  <c r="G684" i="49" s="1"/>
  <c r="L18" i="5"/>
  <c r="E250" i="49"/>
  <c r="G250" i="49" s="1"/>
  <c r="E251" i="49"/>
  <c r="G251" i="49" s="1"/>
  <c r="E238" i="60"/>
  <c r="G238" i="60" s="1"/>
  <c r="E237" i="60"/>
  <c r="G237" i="60" s="1"/>
  <c r="AA116" i="5"/>
  <c r="E249" i="49"/>
  <c r="G249" i="49" s="1"/>
  <c r="E447" i="49"/>
  <c r="G447" i="49" s="1"/>
  <c r="E448" i="60"/>
  <c r="G448" i="60" s="1"/>
  <c r="E450" i="60"/>
  <c r="G450" i="60" s="1"/>
  <c r="E449" i="49"/>
  <c r="G449" i="49" s="1"/>
  <c r="E448" i="49"/>
  <c r="G448" i="49" s="1"/>
  <c r="E449" i="60"/>
  <c r="G449" i="60" s="1"/>
  <c r="E451" i="49"/>
  <c r="G451" i="49" s="1"/>
  <c r="E450" i="49"/>
  <c r="G450" i="49" s="1"/>
  <c r="AA213" i="5"/>
  <c r="E772" i="49"/>
  <c r="G772" i="49" s="1"/>
  <c r="E776" i="49"/>
  <c r="G776" i="49" s="1"/>
  <c r="E770" i="49"/>
  <c r="G770" i="49" s="1"/>
  <c r="E771" i="49"/>
  <c r="G771" i="49" s="1"/>
  <c r="E774" i="49"/>
  <c r="G774" i="49" s="1"/>
  <c r="E777" i="49"/>
  <c r="G777" i="49" s="1"/>
  <c r="AA369" i="5"/>
  <c r="E779" i="49"/>
  <c r="G779" i="49" s="1"/>
  <c r="E834" i="60"/>
  <c r="G834" i="60" s="1"/>
  <c r="M56" i="5"/>
  <c r="E778" i="49"/>
  <c r="G778" i="49" s="1"/>
  <c r="E775" i="49"/>
  <c r="G775" i="49" s="1"/>
  <c r="E773" i="49"/>
  <c r="G773" i="49" s="1"/>
  <c r="AA307" i="5"/>
  <c r="E664" i="49"/>
  <c r="G664" i="49" s="1"/>
  <c r="E694" i="49"/>
  <c r="G694" i="49" s="1"/>
  <c r="E713" i="60"/>
  <c r="G713" i="60" s="1"/>
  <c r="E714" i="60"/>
  <c r="G714" i="60" s="1"/>
  <c r="E692" i="49"/>
  <c r="G692" i="49" s="1"/>
  <c r="E693" i="49"/>
  <c r="G693" i="49" s="1"/>
  <c r="AA325" i="5"/>
  <c r="E712" i="60"/>
  <c r="G712" i="60" s="1"/>
  <c r="E837" i="60"/>
  <c r="G837" i="60" s="1"/>
  <c r="E791" i="49"/>
  <c r="G791" i="49" s="1"/>
  <c r="AA372" i="5"/>
  <c r="E621" i="60"/>
  <c r="G621" i="60" s="1"/>
  <c r="E623" i="60"/>
  <c r="G623" i="60" s="1"/>
  <c r="E625" i="60"/>
  <c r="G625" i="60" s="1"/>
  <c r="AA281" i="5"/>
  <c r="E624" i="60"/>
  <c r="G624" i="60" s="1"/>
  <c r="E622" i="60"/>
  <c r="G622" i="60" s="1"/>
  <c r="E113" i="49"/>
  <c r="G113" i="49" s="1"/>
  <c r="E112" i="49"/>
  <c r="G112" i="49" s="1"/>
  <c r="AA53" i="5"/>
  <c r="E113" i="60"/>
  <c r="G113" i="60" s="1"/>
  <c r="E114" i="60"/>
  <c r="G114" i="60" s="1"/>
  <c r="E112" i="60"/>
  <c r="G112" i="60" s="1"/>
  <c r="E111" i="49"/>
  <c r="G111" i="49" s="1"/>
  <c r="E110" i="49"/>
  <c r="G110" i="49" s="1"/>
  <c r="L41" i="5"/>
  <c r="O41" i="5" s="1"/>
  <c r="AA270" i="5"/>
  <c r="E580" i="49"/>
  <c r="G580" i="49" s="1"/>
  <c r="E585" i="60"/>
  <c r="G585" i="60" s="1"/>
  <c r="E579" i="49"/>
  <c r="G579" i="49" s="1"/>
  <c r="E586" i="60"/>
  <c r="G586" i="60" s="1"/>
  <c r="L40" i="5"/>
  <c r="S38" i="5" s="1"/>
  <c r="E787" i="49"/>
  <c r="G787" i="49" s="1"/>
  <c r="E783" i="49"/>
  <c r="G783" i="49" s="1"/>
  <c r="AA370" i="5"/>
  <c r="E784" i="49"/>
  <c r="G784" i="49" s="1"/>
  <c r="E835" i="60"/>
  <c r="G835" i="60" s="1"/>
  <c r="E780" i="49"/>
  <c r="G780" i="49" s="1"/>
  <c r="E785" i="49"/>
  <c r="G785" i="49" s="1"/>
  <c r="E786" i="49"/>
  <c r="G786" i="49" s="1"/>
  <c r="E782" i="49"/>
  <c r="G782" i="49" s="1"/>
  <c r="E781" i="49"/>
  <c r="G781" i="49" s="1"/>
  <c r="AA130" i="5"/>
  <c r="E285" i="49"/>
  <c r="G285" i="49" s="1"/>
  <c r="E263" i="60"/>
  <c r="G263" i="60" s="1"/>
  <c r="E338" i="60"/>
  <c r="G338" i="60" s="1"/>
  <c r="E340" i="60"/>
  <c r="G340" i="60" s="1"/>
  <c r="E339" i="60"/>
  <c r="G339" i="60" s="1"/>
  <c r="AA157" i="5"/>
  <c r="E337" i="60"/>
  <c r="G337" i="60" s="1"/>
  <c r="E341" i="60"/>
  <c r="G341" i="60" s="1"/>
  <c r="E229" i="60"/>
  <c r="G229" i="60" s="1"/>
  <c r="E228" i="60"/>
  <c r="G228" i="60" s="1"/>
  <c r="L17" i="5"/>
  <c r="E240" i="49"/>
  <c r="G240" i="49" s="1"/>
  <c r="AA111" i="5"/>
  <c r="E239" i="49"/>
  <c r="G239" i="49" s="1"/>
  <c r="AA301" i="5"/>
  <c r="E661" i="49"/>
  <c r="G661" i="49" s="1"/>
  <c r="E660" i="49"/>
  <c r="G660" i="49" s="1"/>
  <c r="AA330" i="5"/>
  <c r="E731" i="60"/>
  <c r="G731" i="60" s="1"/>
  <c r="E732" i="60"/>
  <c r="G732" i="60" s="1"/>
  <c r="M46" i="5"/>
  <c r="AA300" i="5"/>
  <c r="E659" i="49"/>
  <c r="G659" i="49" s="1"/>
  <c r="M45" i="5"/>
  <c r="T40" i="5" s="1"/>
  <c r="E291" i="49"/>
  <c r="G291" i="49" s="1"/>
  <c r="E292" i="49"/>
  <c r="G292" i="49" s="1"/>
  <c r="AA161" i="5"/>
  <c r="E329" i="49"/>
  <c r="G329" i="49" s="1"/>
  <c r="AA181" i="5"/>
  <c r="AB181" i="5" s="1"/>
  <c r="E350" i="60"/>
  <c r="G350" i="60" s="1"/>
  <c r="AA121" i="5"/>
  <c r="E251" i="60"/>
  <c r="G251" i="60" s="1"/>
  <c r="E253" i="60"/>
  <c r="G253" i="60" s="1"/>
  <c r="E263" i="49"/>
  <c r="G263" i="49" s="1"/>
  <c r="E252" i="60"/>
  <c r="G252" i="60" s="1"/>
  <c r="AA64" i="5"/>
  <c r="E138" i="60"/>
  <c r="G138" i="60" s="1"/>
  <c r="E139" i="60"/>
  <c r="G139" i="60" s="1"/>
  <c r="E140" i="49"/>
  <c r="G140" i="49" s="1"/>
  <c r="E141" i="49"/>
  <c r="G141" i="49" s="1"/>
  <c r="E710" i="49"/>
  <c r="G710" i="49" s="1"/>
  <c r="E708" i="49"/>
  <c r="G708" i="49" s="1"/>
  <c r="E709" i="49"/>
  <c r="G709" i="49" s="1"/>
  <c r="AA335" i="5"/>
  <c r="E9" i="60"/>
  <c r="G9" i="60" s="1"/>
  <c r="E12" i="49"/>
  <c r="G12" i="49" s="1"/>
  <c r="E8" i="60"/>
  <c r="G8" i="60" s="1"/>
  <c r="AA7" i="5"/>
  <c r="E11" i="49"/>
  <c r="G11" i="49" s="1"/>
  <c r="E695" i="49"/>
  <c r="G695" i="49" s="1"/>
  <c r="E716" i="60"/>
  <c r="G716" i="60" s="1"/>
  <c r="E715" i="60"/>
  <c r="G715" i="60" s="1"/>
  <c r="E720" i="60"/>
  <c r="G720" i="60" s="1"/>
  <c r="E717" i="60"/>
  <c r="G717" i="60" s="1"/>
  <c r="E719" i="60"/>
  <c r="G719" i="60" s="1"/>
  <c r="E718" i="60"/>
  <c r="G718" i="60" s="1"/>
  <c r="AA326" i="5"/>
  <c r="E844" i="60"/>
  <c r="G844" i="60" s="1"/>
  <c r="E845" i="60"/>
  <c r="G845" i="60" s="1"/>
  <c r="E812" i="49"/>
  <c r="G812" i="49" s="1"/>
  <c r="AA383" i="5"/>
  <c r="O52" i="5" l="1"/>
  <c r="O55" i="5"/>
  <c r="O31" i="5"/>
  <c r="O58" i="5"/>
  <c r="O37" i="5"/>
  <c r="Y241" i="5"/>
  <c r="AB241" i="5" s="1"/>
  <c r="H56" i="39"/>
  <c r="Y251" i="5"/>
  <c r="AB251" i="5" s="1"/>
  <c r="Y247" i="5"/>
  <c r="AB247" i="5" s="1"/>
  <c r="Y245" i="5"/>
  <c r="AB245" i="5" s="1"/>
  <c r="Y248" i="5"/>
  <c r="AB248" i="5" s="1"/>
  <c r="Y249" i="5"/>
  <c r="AB249" i="5" s="1"/>
  <c r="Y246" i="5"/>
  <c r="AB246" i="5" s="1"/>
  <c r="Y250" i="5"/>
  <c r="AB250" i="5" s="1"/>
  <c r="Y242" i="5"/>
  <c r="AB242" i="5" s="1"/>
  <c r="Y239" i="5"/>
  <c r="AB239" i="5" s="1"/>
  <c r="B53" i="58"/>
  <c r="E56" i="39"/>
  <c r="Y243" i="5"/>
  <c r="AB243" i="5" s="1"/>
  <c r="Y244" i="5"/>
  <c r="AB244" i="5" s="1"/>
  <c r="E29" i="34"/>
  <c r="H8" i="1"/>
  <c r="Y240" i="5"/>
  <c r="AB240" i="5" s="1"/>
  <c r="Y90" i="5"/>
  <c r="AB90" i="5" s="1"/>
  <c r="B30" i="58"/>
  <c r="Y92" i="5"/>
  <c r="AB92" i="5" s="1"/>
  <c r="H12" i="16"/>
  <c r="Y93" i="5"/>
  <c r="AB93" i="5" s="1"/>
  <c r="Y91" i="5"/>
  <c r="AB91" i="5" s="1"/>
  <c r="H35" i="34"/>
  <c r="Y89" i="5"/>
  <c r="AB89" i="5" s="1"/>
  <c r="Y94" i="5"/>
  <c r="AB94" i="5" s="1"/>
  <c r="E33" i="39"/>
  <c r="H33" i="39"/>
  <c r="E64" i="39"/>
  <c r="Y293" i="5"/>
  <c r="AB293" i="5" s="1"/>
  <c r="B61" i="58"/>
  <c r="Y297" i="5"/>
  <c r="AB297" i="5" s="1"/>
  <c r="H64" i="39"/>
  <c r="Y296" i="5"/>
  <c r="AB296" i="5" s="1"/>
  <c r="H10" i="17"/>
  <c r="Y295" i="5"/>
  <c r="AB295" i="5" s="1"/>
  <c r="Y292" i="5"/>
  <c r="AB292" i="5" s="1"/>
  <c r="E44" i="34"/>
  <c r="Y294" i="5"/>
  <c r="AB294" i="5" s="1"/>
  <c r="O48" i="5"/>
  <c r="G381" i="60"/>
  <c r="N3" i="60"/>
  <c r="N7" i="60" s="1"/>
  <c r="O29" i="5"/>
  <c r="G311" i="60"/>
  <c r="M3" i="60"/>
  <c r="M7" i="60" s="1"/>
  <c r="O26" i="5"/>
  <c r="G2" i="60"/>
  <c r="K3" i="60"/>
  <c r="K7" i="60" s="1"/>
  <c r="E72" i="39"/>
  <c r="H9" i="21"/>
  <c r="Y349" i="5"/>
  <c r="AB349" i="5" s="1"/>
  <c r="B69" i="58"/>
  <c r="Y348" i="5"/>
  <c r="AB348" i="5" s="1"/>
  <c r="E25" i="34"/>
  <c r="Y352" i="5"/>
  <c r="AB352" i="5" s="1"/>
  <c r="H72" i="39"/>
  <c r="Y347" i="5"/>
  <c r="AB347" i="5" s="1"/>
  <c r="Y351" i="5"/>
  <c r="AB351" i="5" s="1"/>
  <c r="Y350" i="5"/>
  <c r="AB350" i="5" s="1"/>
  <c r="Y130" i="5"/>
  <c r="AB130" i="5" s="1"/>
  <c r="E39" i="39"/>
  <c r="Y129" i="5"/>
  <c r="AB129" i="5" s="1"/>
  <c r="H11" i="8"/>
  <c r="B36" i="58"/>
  <c r="Y127" i="5"/>
  <c r="AB127" i="5" s="1"/>
  <c r="Y128" i="5"/>
  <c r="AB128" i="5" s="1"/>
  <c r="E20" i="34"/>
  <c r="Y125" i="5"/>
  <c r="AB125" i="5" s="1"/>
  <c r="Y126" i="5"/>
  <c r="AB126" i="5" s="1"/>
  <c r="H39" i="39"/>
  <c r="G33" i="60"/>
  <c r="L3" i="60"/>
  <c r="L7" i="60" s="1"/>
  <c r="E23" i="39"/>
  <c r="Y2" i="5"/>
  <c r="AB2" i="5" s="1"/>
  <c r="Y9" i="5"/>
  <c r="AB9" i="5" s="1"/>
  <c r="B20" i="58"/>
  <c r="H23" i="39"/>
  <c r="Y3" i="5"/>
  <c r="AB3" i="5" s="1"/>
  <c r="E35" i="34"/>
  <c r="Y4" i="5"/>
  <c r="AB4" i="5" s="1"/>
  <c r="W4" i="5" s="1"/>
  <c r="H7" i="10"/>
  <c r="Y6" i="5"/>
  <c r="AB6" i="5" s="1"/>
  <c r="Y7" i="5"/>
  <c r="AB7" i="5" s="1"/>
  <c r="Y8" i="5"/>
  <c r="AB8" i="5" s="1"/>
  <c r="Y5" i="5"/>
  <c r="AB5" i="5" s="1"/>
  <c r="Y10" i="5"/>
  <c r="AB10" i="5" s="1"/>
  <c r="Y11" i="5"/>
  <c r="AB11" i="5" s="1"/>
  <c r="Y261" i="5"/>
  <c r="AB261" i="5" s="1"/>
  <c r="H10" i="1"/>
  <c r="E31" i="34"/>
  <c r="H58" i="39"/>
  <c r="Y262" i="5"/>
  <c r="AB262" i="5" s="1"/>
  <c r="Y263" i="5"/>
  <c r="AB263" i="5" s="1"/>
  <c r="Y259" i="5"/>
  <c r="AB259" i="5" s="1"/>
  <c r="Y260" i="5"/>
  <c r="AB260" i="5" s="1"/>
  <c r="E58" i="39"/>
  <c r="B55" i="58"/>
  <c r="Y206" i="5"/>
  <c r="AB206" i="5" s="1"/>
  <c r="E51" i="39"/>
  <c r="B48" i="58"/>
  <c r="Y199" i="5"/>
  <c r="AB199" i="5" s="1"/>
  <c r="Y204" i="5"/>
  <c r="AB204" i="5" s="1"/>
  <c r="Y201" i="5"/>
  <c r="AB201" i="5" s="1"/>
  <c r="Y202" i="5"/>
  <c r="AB202" i="5" s="1"/>
  <c r="Y205" i="5"/>
  <c r="AB205" i="5" s="1"/>
  <c r="Y207" i="5"/>
  <c r="AB207" i="5" s="1"/>
  <c r="Y200" i="5"/>
  <c r="AB200" i="5" s="1"/>
  <c r="H9" i="18"/>
  <c r="H51" i="39"/>
  <c r="H13" i="34"/>
  <c r="Y197" i="5"/>
  <c r="AB197" i="5" s="1"/>
  <c r="Y208" i="5"/>
  <c r="AB208" i="5" s="1"/>
  <c r="Y198" i="5"/>
  <c r="AB198" i="5" s="1"/>
  <c r="Y203" i="5"/>
  <c r="AB203" i="5" s="1"/>
  <c r="O56" i="5"/>
  <c r="O18" i="5"/>
  <c r="O47" i="5"/>
  <c r="G364" i="49"/>
  <c r="N3" i="49"/>
  <c r="N7" i="49" s="1"/>
  <c r="O57" i="5"/>
  <c r="O25" i="5"/>
  <c r="O43" i="5"/>
  <c r="O40" i="5" s="1"/>
  <c r="O10" i="5"/>
  <c r="H26" i="39"/>
  <c r="B23" i="58"/>
  <c r="Y31" i="5"/>
  <c r="AB31" i="5" s="1"/>
  <c r="Y34" i="5"/>
  <c r="AB34" i="5" s="1"/>
  <c r="Y33" i="5"/>
  <c r="AB33" i="5" s="1"/>
  <c r="Y32" i="5"/>
  <c r="AB32" i="5" s="1"/>
  <c r="H10" i="10"/>
  <c r="E38" i="34"/>
  <c r="Y35" i="5"/>
  <c r="AB35" i="5" s="1"/>
  <c r="Y36" i="5"/>
  <c r="AB36" i="5" s="1"/>
  <c r="E26" i="39"/>
  <c r="O20" i="5"/>
  <c r="E41" i="39"/>
  <c r="H41" i="39"/>
  <c r="B38" i="58"/>
  <c r="Y137" i="5"/>
  <c r="AB137" i="5" s="1"/>
  <c r="H7" i="12"/>
  <c r="Y131" i="5"/>
  <c r="AB131" i="5" s="1"/>
  <c r="Y136" i="5"/>
  <c r="AB136" i="5" s="1"/>
  <c r="E11" i="34"/>
  <c r="Y134" i="5"/>
  <c r="AB134" i="5" s="1"/>
  <c r="Y133" i="5"/>
  <c r="AB133" i="5" s="1"/>
  <c r="Y138" i="5"/>
  <c r="AB138" i="5" s="1"/>
  <c r="Y135" i="5"/>
  <c r="AB135" i="5" s="1"/>
  <c r="Y132" i="5"/>
  <c r="AB132" i="5" s="1"/>
  <c r="G84" i="60"/>
  <c r="J3" i="60"/>
  <c r="J7" i="60" s="1"/>
  <c r="H78" i="39"/>
  <c r="E78" i="39"/>
  <c r="Y383" i="5"/>
  <c r="AB383" i="5" s="1"/>
  <c r="Y379" i="5"/>
  <c r="AB379" i="5" s="1"/>
  <c r="Y384" i="5"/>
  <c r="AB384" i="5" s="1"/>
  <c r="Y380" i="5"/>
  <c r="AB380" i="5" s="1"/>
  <c r="B75" i="58"/>
  <c r="H11" i="20"/>
  <c r="H27" i="34"/>
  <c r="Y382" i="5"/>
  <c r="AB382" i="5" s="1"/>
  <c r="Y381" i="5"/>
  <c r="AB381" i="5" s="1"/>
  <c r="Y50" i="5"/>
  <c r="AB50" i="5" s="1"/>
  <c r="Y59" i="5"/>
  <c r="AB59" i="5" s="1"/>
  <c r="H29" i="39"/>
  <c r="Y57" i="5"/>
  <c r="AB57" i="5" s="1"/>
  <c r="H31" i="34"/>
  <c r="E29" i="39"/>
  <c r="Y53" i="5"/>
  <c r="AB53" i="5" s="1"/>
  <c r="Y58" i="5"/>
  <c r="AB58" i="5" s="1"/>
  <c r="B26" i="58"/>
  <c r="Y52" i="5"/>
  <c r="AB52" i="5" s="1"/>
  <c r="Y54" i="5"/>
  <c r="AB54" i="5" s="1"/>
  <c r="Y55" i="5"/>
  <c r="AB55" i="5" s="1"/>
  <c r="Y51" i="5"/>
  <c r="AB51" i="5" s="1"/>
  <c r="Y56" i="5"/>
  <c r="AB56" i="5" s="1"/>
  <c r="H8" i="16"/>
  <c r="Y48" i="5"/>
  <c r="AB48" i="5" s="1"/>
  <c r="Y49" i="5"/>
  <c r="AB49" i="5" s="1"/>
  <c r="O12" i="5"/>
  <c r="O42" i="5"/>
  <c r="O51" i="5"/>
  <c r="O49" i="5" s="1"/>
  <c r="G77" i="49"/>
  <c r="J3" i="49"/>
  <c r="J7" i="49" s="1"/>
  <c r="O30" i="5"/>
  <c r="O8" i="5"/>
  <c r="H24" i="34"/>
  <c r="Y362" i="5"/>
  <c r="AB362" i="5" s="1"/>
  <c r="E75" i="39"/>
  <c r="Y366" i="5"/>
  <c r="AB366" i="5" s="1"/>
  <c r="Y363" i="5"/>
  <c r="AB363" i="5" s="1"/>
  <c r="Y364" i="5"/>
  <c r="AB364" i="5" s="1"/>
  <c r="H75" i="39"/>
  <c r="Y361" i="5"/>
  <c r="AB361" i="5" s="1"/>
  <c r="Y365" i="5"/>
  <c r="AB365" i="5" s="1"/>
  <c r="B72" i="58"/>
  <c r="Y360" i="5"/>
  <c r="AB360" i="5" s="1"/>
  <c r="H8" i="20"/>
  <c r="H8" i="12"/>
  <c r="Y145" i="5"/>
  <c r="AB145" i="5" s="1"/>
  <c r="Y146" i="5"/>
  <c r="AB146" i="5" s="1"/>
  <c r="Y143" i="5"/>
  <c r="AB143" i="5" s="1"/>
  <c r="E42" i="39"/>
  <c r="Y139" i="5"/>
  <c r="AB139" i="5" s="1"/>
  <c r="Y140" i="5"/>
  <c r="AB140" i="5" s="1"/>
  <c r="H42" i="39"/>
  <c r="E12" i="34"/>
  <c r="Y144" i="5"/>
  <c r="AB144" i="5" s="1"/>
  <c r="Y141" i="5"/>
  <c r="AB141" i="5" s="1"/>
  <c r="Y147" i="5"/>
  <c r="AB147" i="5" s="1"/>
  <c r="Y149" i="5"/>
  <c r="AB149" i="5" s="1"/>
  <c r="B39" i="58"/>
  <c r="Y142" i="5"/>
  <c r="AB142" i="5" s="1"/>
  <c r="Y148" i="5"/>
  <c r="AB148" i="5" s="1"/>
  <c r="H11" i="18"/>
  <c r="Y229" i="5"/>
  <c r="AB229" i="5" s="1"/>
  <c r="Y225" i="5"/>
  <c r="AB225" i="5" s="1"/>
  <c r="H53" i="39"/>
  <c r="Y230" i="5"/>
  <c r="AB230" i="5" s="1"/>
  <c r="Y226" i="5"/>
  <c r="AB226" i="5" s="1"/>
  <c r="B50" i="58"/>
  <c r="E53" i="39"/>
  <c r="Y227" i="5"/>
  <c r="AB227" i="5" s="1"/>
  <c r="Y228" i="5"/>
  <c r="AB228" i="5" s="1"/>
  <c r="H15" i="34"/>
  <c r="O17" i="5"/>
  <c r="E24" i="39"/>
  <c r="Y14" i="5"/>
  <c r="AB14" i="5" s="1"/>
  <c r="Y15" i="5"/>
  <c r="AB15" i="5" s="1"/>
  <c r="Y19" i="5"/>
  <c r="AB19" i="5" s="1"/>
  <c r="Y12" i="5"/>
  <c r="AB12" i="5" s="1"/>
  <c r="Y16" i="5"/>
  <c r="AB16" i="5" s="1"/>
  <c r="W16" i="5" s="1"/>
  <c r="Y17" i="5"/>
  <c r="AB17" i="5" s="1"/>
  <c r="H8" i="10"/>
  <c r="Y13" i="5"/>
  <c r="AB13" i="5" s="1"/>
  <c r="H24" i="39"/>
  <c r="Y20" i="5"/>
  <c r="AB20" i="5" s="1"/>
  <c r="B21" i="58"/>
  <c r="Y18" i="5"/>
  <c r="AB18" i="5" s="1"/>
  <c r="E36" i="34"/>
  <c r="Y224" i="5"/>
  <c r="AB224" i="5" s="1"/>
  <c r="Y211" i="5"/>
  <c r="AB211" i="5" s="1"/>
  <c r="Y215" i="5"/>
  <c r="AB215" i="5" s="1"/>
  <c r="E52" i="39"/>
  <c r="Y216" i="5"/>
  <c r="AB216" i="5" s="1"/>
  <c r="H52" i="39"/>
  <c r="Y210" i="5"/>
  <c r="AB210" i="5" s="1"/>
  <c r="Y212" i="5"/>
  <c r="AB212" i="5" s="1"/>
  <c r="Y220" i="5"/>
  <c r="AB220" i="5" s="1"/>
  <c r="Y209" i="5"/>
  <c r="AB209" i="5" s="1"/>
  <c r="B49" i="58"/>
  <c r="Y221" i="5"/>
  <c r="AB221" i="5" s="1"/>
  <c r="Y217" i="5"/>
  <c r="AB217" i="5" s="1"/>
  <c r="Y218" i="5"/>
  <c r="AB218" i="5" s="1"/>
  <c r="H14" i="34"/>
  <c r="Y223" i="5"/>
  <c r="AB223" i="5" s="1"/>
  <c r="Y214" i="5"/>
  <c r="AB214" i="5" s="1"/>
  <c r="Y213" i="5"/>
  <c r="AB213" i="5" s="1"/>
  <c r="H10" i="18"/>
  <c r="Y222" i="5"/>
  <c r="AB222" i="5" s="1"/>
  <c r="Y219" i="5"/>
  <c r="AB219" i="5" s="1"/>
  <c r="Y78" i="5"/>
  <c r="AB78" i="5" s="1"/>
  <c r="Y75" i="5"/>
  <c r="AB75" i="5" s="1"/>
  <c r="E31" i="39"/>
  <c r="Y76" i="5"/>
  <c r="AB76" i="5" s="1"/>
  <c r="H33" i="34"/>
  <c r="Y77" i="5"/>
  <c r="AB77" i="5" s="1"/>
  <c r="Y79" i="5"/>
  <c r="AB79" i="5" s="1"/>
  <c r="H10" i="16"/>
  <c r="Y80" i="5"/>
  <c r="AB80" i="5" s="1"/>
  <c r="B28" i="58"/>
  <c r="Y73" i="5"/>
  <c r="AB73" i="5" s="1"/>
  <c r="H31" i="39"/>
  <c r="Y74" i="5"/>
  <c r="AB74" i="5" s="1"/>
  <c r="E23" i="34"/>
  <c r="Y327" i="5"/>
  <c r="AB327" i="5" s="1"/>
  <c r="Y335" i="5"/>
  <c r="AB335" i="5" s="1"/>
  <c r="Y325" i="5"/>
  <c r="AB325" i="5" s="1"/>
  <c r="B67" i="58"/>
  <c r="Y332" i="5"/>
  <c r="AB332" i="5" s="1"/>
  <c r="E70" i="39"/>
  <c r="Y331" i="5"/>
  <c r="AB331" i="5" s="1"/>
  <c r="Y323" i="5"/>
  <c r="AB323" i="5" s="1"/>
  <c r="Y326" i="5"/>
  <c r="AB326" i="5" s="1"/>
  <c r="H70" i="39"/>
  <c r="Y328" i="5"/>
  <c r="AB328" i="5" s="1"/>
  <c r="Y333" i="5"/>
  <c r="AB333" i="5" s="1"/>
  <c r="Y324" i="5"/>
  <c r="AB324" i="5" s="1"/>
  <c r="Y329" i="5"/>
  <c r="AB329" i="5" s="1"/>
  <c r="H7" i="21"/>
  <c r="Y334" i="5"/>
  <c r="AB334" i="5" s="1"/>
  <c r="Y330" i="5"/>
  <c r="AB330" i="5" s="1"/>
  <c r="G128" i="49"/>
  <c r="M3" i="49"/>
  <c r="M7" i="49" s="1"/>
  <c r="Y272" i="5"/>
  <c r="AB272" i="5" s="1"/>
  <c r="Y275" i="5"/>
  <c r="AB275" i="5" s="1"/>
  <c r="E61" i="39"/>
  <c r="Y270" i="5"/>
  <c r="AB270" i="5" s="1"/>
  <c r="Y271" i="5"/>
  <c r="AB271" i="5" s="1"/>
  <c r="Y274" i="5"/>
  <c r="AB274" i="5" s="1"/>
  <c r="Y273" i="5"/>
  <c r="AB273" i="5" s="1"/>
  <c r="B58" i="58"/>
  <c r="E41" i="34"/>
  <c r="H7" i="17"/>
  <c r="H61" i="39"/>
  <c r="G2" i="49"/>
  <c r="K3" i="49"/>
  <c r="K7" i="49" s="1"/>
  <c r="E17" i="34"/>
  <c r="Y108" i="5"/>
  <c r="AB108" i="5" s="1"/>
  <c r="Y109" i="5"/>
  <c r="AB109" i="5" s="1"/>
  <c r="B33" i="58"/>
  <c r="Y103" i="5"/>
  <c r="AB103" i="5" s="1"/>
  <c r="H8" i="8"/>
  <c r="Y110" i="5"/>
  <c r="AB110" i="5" s="1"/>
  <c r="Y105" i="5"/>
  <c r="AB105" i="5" s="1"/>
  <c r="Y107" i="5"/>
  <c r="AB107" i="5" s="1"/>
  <c r="O14" i="5"/>
  <c r="Y104" i="5"/>
  <c r="AB104" i="5" s="1"/>
  <c r="E36" i="39"/>
  <c r="Y106" i="5"/>
  <c r="AB106" i="5" s="1"/>
  <c r="H36" i="39"/>
  <c r="O23" i="5"/>
  <c r="G40" i="49"/>
  <c r="L3" i="49"/>
  <c r="L7" i="49" s="1"/>
  <c r="O39" i="5"/>
  <c r="O34" i="5" s="1"/>
  <c r="H9" i="14"/>
  <c r="Y179" i="5"/>
  <c r="AB179" i="5" s="1"/>
  <c r="H40" i="34"/>
  <c r="Y177" i="5"/>
  <c r="AB177" i="5" s="1"/>
  <c r="Y180" i="5"/>
  <c r="AB180" i="5" s="1"/>
  <c r="Y178" i="5"/>
  <c r="AB178" i="5" s="1"/>
  <c r="B44" i="58"/>
  <c r="Y176" i="5"/>
  <c r="AB176" i="5" s="1"/>
  <c r="H47" i="39"/>
  <c r="E47" i="39"/>
  <c r="B54" i="58"/>
  <c r="H57" i="39"/>
  <c r="E57" i="39"/>
  <c r="Y256" i="5"/>
  <c r="AB256" i="5" s="1"/>
  <c r="E30" i="34"/>
  <c r="H9" i="1"/>
  <c r="Y255" i="5"/>
  <c r="AB255" i="5" s="1"/>
  <c r="Y258" i="5"/>
  <c r="AB258" i="5" s="1"/>
  <c r="Y252" i="5"/>
  <c r="AB252" i="5" s="1"/>
  <c r="Y254" i="5"/>
  <c r="AB254" i="5" s="1"/>
  <c r="Y257" i="5"/>
  <c r="AB257" i="5" s="1"/>
  <c r="Y253" i="5"/>
  <c r="AB253" i="5" s="1"/>
  <c r="O46" i="5"/>
  <c r="O54" i="5"/>
  <c r="O5" i="5"/>
  <c r="W11" i="5" l="1"/>
  <c r="W14" i="5"/>
  <c r="B51" i="58"/>
  <c r="E54" i="39"/>
  <c r="S6" i="5"/>
  <c r="H54" i="39"/>
  <c r="H4" i="1"/>
  <c r="E27" i="34"/>
  <c r="Y356" i="5"/>
  <c r="AB356" i="5" s="1"/>
  <c r="B71" i="58"/>
  <c r="Y355" i="5"/>
  <c r="AB355" i="5" s="1"/>
  <c r="H23" i="34"/>
  <c r="Y353" i="5"/>
  <c r="AB353" i="5" s="1"/>
  <c r="H7" i="20"/>
  <c r="Y359" i="5"/>
  <c r="AB359" i="5" s="1"/>
  <c r="H74" i="39"/>
  <c r="Y357" i="5"/>
  <c r="AB357" i="5" s="1"/>
  <c r="Y358" i="5"/>
  <c r="AB358" i="5" s="1"/>
  <c r="Y354" i="5"/>
  <c r="AB354" i="5" s="1"/>
  <c r="E74" i="39"/>
  <c r="O53" i="5"/>
  <c r="H18" i="39"/>
  <c r="G12" i="48"/>
  <c r="H12" i="48" s="1"/>
  <c r="I12" i="48" s="1"/>
  <c r="E18" i="39"/>
  <c r="B15" i="58"/>
  <c r="W20" i="5"/>
  <c r="W15" i="5"/>
  <c r="Y283" i="5"/>
  <c r="AB283" i="5" s="1"/>
  <c r="Y280" i="5"/>
  <c r="AB280" i="5" s="1"/>
  <c r="H8" i="17"/>
  <c r="H62" i="39"/>
  <c r="Y279" i="5"/>
  <c r="AB279" i="5" s="1"/>
  <c r="Y276" i="5"/>
  <c r="AB276" i="5" s="1"/>
  <c r="B59" i="58"/>
  <c r="Y277" i="5"/>
  <c r="AB277" i="5" s="1"/>
  <c r="Y284" i="5"/>
  <c r="AB284" i="5" s="1"/>
  <c r="E42" i="34"/>
  <c r="Y282" i="5"/>
  <c r="AB282" i="5" s="1"/>
  <c r="Y281" i="5"/>
  <c r="AB281" i="5" s="1"/>
  <c r="E62" i="39"/>
  <c r="Y278" i="5"/>
  <c r="AB278" i="5" s="1"/>
  <c r="H38" i="39"/>
  <c r="H10" i="8"/>
  <c r="Y117" i="5"/>
  <c r="AB117" i="5" s="1"/>
  <c r="B35" i="58"/>
  <c r="Y118" i="5"/>
  <c r="AB118" i="5" s="1"/>
  <c r="Y123" i="5"/>
  <c r="AB123" i="5" s="1"/>
  <c r="Y116" i="5"/>
  <c r="AB116" i="5" s="1"/>
  <c r="Y119" i="5"/>
  <c r="AB119" i="5" s="1"/>
  <c r="Y121" i="5"/>
  <c r="AB121" i="5" s="1"/>
  <c r="E38" i="39"/>
  <c r="Y124" i="5"/>
  <c r="AB124" i="5" s="1"/>
  <c r="Y120" i="5"/>
  <c r="AB120" i="5" s="1"/>
  <c r="E19" i="34"/>
  <c r="Y122" i="5"/>
  <c r="AB122" i="5" s="1"/>
  <c r="W8" i="5"/>
  <c r="E46" i="39"/>
  <c r="Y168" i="5"/>
  <c r="AB168" i="5" s="1"/>
  <c r="Y171" i="5"/>
  <c r="AB171" i="5" s="1"/>
  <c r="Y175" i="5"/>
  <c r="AB175" i="5" s="1"/>
  <c r="Y166" i="5"/>
  <c r="AB166" i="5" s="1"/>
  <c r="Y172" i="5"/>
  <c r="AB172" i="5" s="1"/>
  <c r="H46" i="39"/>
  <c r="Y174" i="5"/>
  <c r="AB174" i="5" s="1"/>
  <c r="Y170" i="5"/>
  <c r="AB170" i="5" s="1"/>
  <c r="H39" i="34"/>
  <c r="B43" i="58"/>
  <c r="Y173" i="5"/>
  <c r="AB173" i="5" s="1"/>
  <c r="Y167" i="5"/>
  <c r="AB167" i="5" s="1"/>
  <c r="H8" i="14"/>
  <c r="Y169" i="5"/>
  <c r="AB169" i="5" s="1"/>
  <c r="V71" i="49"/>
  <c r="T71" i="49" s="1"/>
  <c r="P64" i="50" s="1"/>
  <c r="V44" i="49"/>
  <c r="T44" i="49" s="1"/>
  <c r="P37" i="50" s="1"/>
  <c r="P21" i="49"/>
  <c r="S117" i="49"/>
  <c r="Q117" i="49" s="1"/>
  <c r="N110" i="50" s="1"/>
  <c r="S41" i="49"/>
  <c r="Q41" i="49" s="1"/>
  <c r="N34" i="50" s="1"/>
  <c r="V90" i="49"/>
  <c r="T90" i="49" s="1"/>
  <c r="P83" i="50" s="1"/>
  <c r="S28" i="49"/>
  <c r="Q28" i="49" s="1"/>
  <c r="N21" i="50" s="1"/>
  <c r="P114" i="49"/>
  <c r="P64" i="49"/>
  <c r="P38" i="49"/>
  <c r="S39" i="49"/>
  <c r="Q39" i="49" s="1"/>
  <c r="N32" i="50" s="1"/>
  <c r="P37" i="49"/>
  <c r="S90" i="49"/>
  <c r="Q90" i="49" s="1"/>
  <c r="N83" i="50" s="1"/>
  <c r="V53" i="49"/>
  <c r="T53" i="49" s="1"/>
  <c r="P46" i="50" s="1"/>
  <c r="S44" i="49"/>
  <c r="Q44" i="49" s="1"/>
  <c r="N37" i="50" s="1"/>
  <c r="V59" i="49"/>
  <c r="T59" i="49" s="1"/>
  <c r="P52" i="50" s="1"/>
  <c r="S23" i="49"/>
  <c r="Q23" i="49" s="1"/>
  <c r="N16" i="50" s="1"/>
  <c r="V23" i="49"/>
  <c r="T23" i="49" s="1"/>
  <c r="P16" i="50" s="1"/>
  <c r="S83" i="49"/>
  <c r="Q83" i="49" s="1"/>
  <c r="N76" i="50" s="1"/>
  <c r="P45" i="49"/>
  <c r="P49" i="49"/>
  <c r="V73" i="49"/>
  <c r="T73" i="49" s="1"/>
  <c r="P66" i="50" s="1"/>
  <c r="P118" i="49"/>
  <c r="S121" i="49"/>
  <c r="Q121" i="49" s="1"/>
  <c r="N114" i="50" s="1"/>
  <c r="S16" i="49"/>
  <c r="Q16" i="49" s="1"/>
  <c r="N9" i="50" s="1"/>
  <c r="P109" i="49"/>
  <c r="V20" i="49"/>
  <c r="T20" i="49" s="1"/>
  <c r="V32" i="49"/>
  <c r="T32" i="49" s="1"/>
  <c r="P25" i="50" s="1"/>
  <c r="P52" i="49"/>
  <c r="V36" i="49"/>
  <c r="T36" i="49" s="1"/>
  <c r="V83" i="49"/>
  <c r="T83" i="49" s="1"/>
  <c r="P76" i="50" s="1"/>
  <c r="S110" i="49"/>
  <c r="Q110" i="49" s="1"/>
  <c r="N103" i="50" s="1"/>
  <c r="S37" i="49"/>
  <c r="Q37" i="49" s="1"/>
  <c r="N30" i="50" s="1"/>
  <c r="P83" i="49"/>
  <c r="S48" i="49"/>
  <c r="Q48" i="49" s="1"/>
  <c r="N41" i="50" s="1"/>
  <c r="V88" i="49"/>
  <c r="T88" i="49" s="1"/>
  <c r="P81" i="50" s="1"/>
  <c r="S31" i="49"/>
  <c r="Q31" i="49" s="1"/>
  <c r="N24" i="50" s="1"/>
  <c r="S43" i="49"/>
  <c r="Q43" i="49" s="1"/>
  <c r="N36" i="50" s="1"/>
  <c r="V78" i="49"/>
  <c r="T78" i="49" s="1"/>
  <c r="V75" i="49"/>
  <c r="T75" i="49" s="1"/>
  <c r="P68" i="50" s="1"/>
  <c r="S55" i="49"/>
  <c r="Q55" i="49" s="1"/>
  <c r="N48" i="50" s="1"/>
  <c r="S100" i="49"/>
  <c r="Q100" i="49" s="1"/>
  <c r="N93" i="50" s="1"/>
  <c r="S45" i="49"/>
  <c r="Q45" i="49" s="1"/>
  <c r="N38" i="50" s="1"/>
  <c r="P105" i="49"/>
  <c r="P115" i="49"/>
  <c r="P65" i="49"/>
  <c r="S40" i="49"/>
  <c r="Q40" i="49" s="1"/>
  <c r="N33" i="50" s="1"/>
  <c r="V122" i="49"/>
  <c r="S47" i="49"/>
  <c r="Q47" i="49" s="1"/>
  <c r="N40" i="50" s="1"/>
  <c r="V27" i="49"/>
  <c r="T27" i="49" s="1"/>
  <c r="P20" i="50" s="1"/>
  <c r="V26" i="49"/>
  <c r="T26" i="49" s="1"/>
  <c r="P19" i="50" s="1"/>
  <c r="V96" i="49"/>
  <c r="T96" i="49" s="1"/>
  <c r="S106" i="49"/>
  <c r="Q106" i="49" s="1"/>
  <c r="N99" i="50" s="1"/>
  <c r="S77" i="49"/>
  <c r="Q77" i="49" s="1"/>
  <c r="N70" i="50" s="1"/>
  <c r="P25" i="49"/>
  <c r="P86" i="49"/>
  <c r="S22" i="49"/>
  <c r="Q22" i="49" s="1"/>
  <c r="N15" i="50" s="1"/>
  <c r="P47" i="49"/>
  <c r="S36" i="49"/>
  <c r="Q36" i="49" s="1"/>
  <c r="N29" i="50" s="1"/>
  <c r="S65" i="49"/>
  <c r="Q65" i="49" s="1"/>
  <c r="N58" i="50" s="1"/>
  <c r="V89" i="49"/>
  <c r="T89" i="49" s="1"/>
  <c r="P82" i="50" s="1"/>
  <c r="V39" i="49"/>
  <c r="T39" i="49" s="1"/>
  <c r="P32" i="50" s="1"/>
  <c r="P41" i="49"/>
  <c r="S120" i="49"/>
  <c r="Q120" i="49" s="1"/>
  <c r="N113" i="50" s="1"/>
  <c r="S118" i="49"/>
  <c r="Q118" i="49" s="1"/>
  <c r="N111" i="50" s="1"/>
  <c r="S35" i="49"/>
  <c r="Q35" i="49" s="1"/>
  <c r="N28" i="50" s="1"/>
  <c r="V54" i="49"/>
  <c r="T54" i="49" s="1"/>
  <c r="P47" i="50" s="1"/>
  <c r="P33" i="49"/>
  <c r="V42" i="49"/>
  <c r="T42" i="49" s="1"/>
  <c r="P35" i="50" s="1"/>
  <c r="S74" i="49"/>
  <c r="Q74" i="49" s="1"/>
  <c r="N67" i="50" s="1"/>
  <c r="V108" i="49"/>
  <c r="T108" i="49" s="1"/>
  <c r="P101" i="50" s="1"/>
  <c r="P99" i="49"/>
  <c r="P44" i="49"/>
  <c r="M44" i="49" s="1"/>
  <c r="K44" i="49" s="1"/>
  <c r="J37" i="50" s="1"/>
  <c r="P77" i="49"/>
  <c r="P76" i="49"/>
  <c r="S62" i="49"/>
  <c r="Q62" i="49" s="1"/>
  <c r="N55" i="50" s="1"/>
  <c r="S94" i="49"/>
  <c r="Q94" i="49" s="1"/>
  <c r="N87" i="50" s="1"/>
  <c r="V113" i="49"/>
  <c r="T113" i="49" s="1"/>
  <c r="P106" i="50" s="1"/>
  <c r="S82" i="49"/>
  <c r="Q82" i="49" s="1"/>
  <c r="N75" i="50" s="1"/>
  <c r="V95" i="49"/>
  <c r="T95" i="49" s="1"/>
  <c r="P88" i="50" s="1"/>
  <c r="V65" i="49"/>
  <c r="T65" i="49" s="1"/>
  <c r="P58" i="50" s="1"/>
  <c r="P31" i="49"/>
  <c r="S84" i="49"/>
  <c r="Q84" i="49" s="1"/>
  <c r="N77" i="50" s="1"/>
  <c r="S50" i="49"/>
  <c r="Q50" i="49" s="1"/>
  <c r="N43" i="50" s="1"/>
  <c r="V51" i="49"/>
  <c r="T51" i="49" s="1"/>
  <c r="P44" i="50" s="1"/>
  <c r="S59" i="49"/>
  <c r="Q59" i="49" s="1"/>
  <c r="N52" i="50" s="1"/>
  <c r="P71" i="49"/>
  <c r="P97" i="49"/>
  <c r="P90" i="49"/>
  <c r="V33" i="49"/>
  <c r="T33" i="49" s="1"/>
  <c r="P26" i="50" s="1"/>
  <c r="S122" i="49"/>
  <c r="Q122" i="49" s="1"/>
  <c r="N115" i="50" s="1"/>
  <c r="P36" i="49"/>
  <c r="S18" i="49"/>
  <c r="Q18" i="49" s="1"/>
  <c r="N11" i="50" s="1"/>
  <c r="P112" i="49"/>
  <c r="V115" i="49"/>
  <c r="T115" i="49" s="1"/>
  <c r="P108" i="50" s="1"/>
  <c r="P100" i="49"/>
  <c r="S114" i="49"/>
  <c r="Q114" i="49" s="1"/>
  <c r="N107" i="50" s="1"/>
  <c r="S80" i="49"/>
  <c r="Q80" i="49" s="1"/>
  <c r="N73" i="50" s="1"/>
  <c r="V28" i="49"/>
  <c r="T28" i="49" s="1"/>
  <c r="P21" i="50" s="1"/>
  <c r="S123" i="49"/>
  <c r="Q123" i="49" s="1"/>
  <c r="N116" i="50" s="1"/>
  <c r="S92" i="49"/>
  <c r="Q92" i="49" s="1"/>
  <c r="N85" i="50" s="1"/>
  <c r="P56" i="49"/>
  <c r="S51" i="49"/>
  <c r="Q51" i="49" s="1"/>
  <c r="N44" i="50" s="1"/>
  <c r="S81" i="49"/>
  <c r="Q81" i="49" s="1"/>
  <c r="N74" i="50" s="1"/>
  <c r="V24" i="49"/>
  <c r="T24" i="49" s="1"/>
  <c r="P94" i="49"/>
  <c r="S68" i="49"/>
  <c r="Q68" i="49" s="1"/>
  <c r="V106" i="49"/>
  <c r="T106" i="49" s="1"/>
  <c r="P99" i="50" s="1"/>
  <c r="S88" i="49"/>
  <c r="Q88" i="49" s="1"/>
  <c r="N81" i="50" s="1"/>
  <c r="V61" i="49"/>
  <c r="T61" i="49" s="1"/>
  <c r="P54" i="50" s="1"/>
  <c r="P43" i="49"/>
  <c r="S86" i="49"/>
  <c r="Q86" i="49" s="1"/>
  <c r="N79" i="50" s="1"/>
  <c r="P32" i="49"/>
  <c r="P46" i="49"/>
  <c r="S112" i="49"/>
  <c r="Q112" i="49" s="1"/>
  <c r="N105" i="50" s="1"/>
  <c r="P122" i="49"/>
  <c r="S60" i="49"/>
  <c r="Q60" i="49" s="1"/>
  <c r="N53" i="50" s="1"/>
  <c r="V64" i="49"/>
  <c r="T64" i="49" s="1"/>
  <c r="P57" i="50" s="1"/>
  <c r="S27" i="49"/>
  <c r="Q27" i="49" s="1"/>
  <c r="N20" i="50" s="1"/>
  <c r="P74" i="49"/>
  <c r="V16" i="49"/>
  <c r="T16" i="49" s="1"/>
  <c r="P9" i="50" s="1"/>
  <c r="S95" i="49"/>
  <c r="Q95" i="49" s="1"/>
  <c r="N88" i="50" s="1"/>
  <c r="P113" i="49"/>
  <c r="S111" i="49"/>
  <c r="Q111" i="49" s="1"/>
  <c r="N104" i="50" s="1"/>
  <c r="V117" i="49"/>
  <c r="T117" i="49" s="1"/>
  <c r="P110" i="50" s="1"/>
  <c r="S75" i="49"/>
  <c r="Q75" i="49" s="1"/>
  <c r="N68" i="50" s="1"/>
  <c r="P22" i="49"/>
  <c r="P30" i="49"/>
  <c r="V67" i="49"/>
  <c r="T67" i="49" s="1"/>
  <c r="P60" i="50" s="1"/>
  <c r="V58" i="49"/>
  <c r="T58" i="49" s="1"/>
  <c r="P51" i="50" s="1"/>
  <c r="P81" i="49"/>
  <c r="P60" i="49"/>
  <c r="S72" i="49"/>
  <c r="Q72" i="49" s="1"/>
  <c r="N65" i="50" s="1"/>
  <c r="P121" i="49"/>
  <c r="P117" i="49"/>
  <c r="V55" i="49"/>
  <c r="T55" i="49" s="1"/>
  <c r="P48" i="50" s="1"/>
  <c r="P23" i="49"/>
  <c r="S56" i="49"/>
  <c r="Q56" i="49" s="1"/>
  <c r="N49" i="50" s="1"/>
  <c r="S66" i="49"/>
  <c r="Q66" i="49" s="1"/>
  <c r="N59" i="50" s="1"/>
  <c r="V70" i="49"/>
  <c r="T70" i="49" s="1"/>
  <c r="P63" i="50" s="1"/>
  <c r="P93" i="49"/>
  <c r="P111" i="49"/>
  <c r="V109" i="49"/>
  <c r="T109" i="49" s="1"/>
  <c r="P102" i="50" s="1"/>
  <c r="P85" i="49"/>
  <c r="S91" i="49"/>
  <c r="Q91" i="49" s="1"/>
  <c r="N84" i="50" s="1"/>
  <c r="V82" i="49"/>
  <c r="T82" i="49" s="1"/>
  <c r="P75" i="50" s="1"/>
  <c r="P59" i="49"/>
  <c r="V21" i="49"/>
  <c r="T21" i="49" s="1"/>
  <c r="P14" i="50" s="1"/>
  <c r="S54" i="49"/>
  <c r="Q54" i="49" s="1"/>
  <c r="N47" i="50" s="1"/>
  <c r="P53" i="49"/>
  <c r="S97" i="49"/>
  <c r="Q97" i="49" s="1"/>
  <c r="N90" i="50" s="1"/>
  <c r="P20" i="49"/>
  <c r="S85" i="49"/>
  <c r="Q85" i="49" s="1"/>
  <c r="P34" i="49"/>
  <c r="S42" i="49"/>
  <c r="Q42" i="49" s="1"/>
  <c r="N35" i="50" s="1"/>
  <c r="P67" i="49"/>
  <c r="P16" i="49"/>
  <c r="S115" i="49"/>
  <c r="Q115" i="49" s="1"/>
  <c r="N108" i="50" s="1"/>
  <c r="V49" i="49"/>
  <c r="T49" i="49" s="1"/>
  <c r="P42" i="50" s="1"/>
  <c r="V22" i="49"/>
  <c r="T22" i="49" s="1"/>
  <c r="P15" i="50" s="1"/>
  <c r="P69" i="49"/>
  <c r="P78" i="49"/>
  <c r="S69" i="49"/>
  <c r="Q69" i="49" s="1"/>
  <c r="N62" i="50" s="1"/>
  <c r="V87" i="49"/>
  <c r="T87" i="49" s="1"/>
  <c r="P70" i="49"/>
  <c r="S63" i="49"/>
  <c r="Q63" i="49" s="1"/>
  <c r="N56" i="50" s="1"/>
  <c r="P84" i="49"/>
  <c r="P98" i="49"/>
  <c r="S101" i="49"/>
  <c r="Q101" i="49" s="1"/>
  <c r="N94" i="50" s="1"/>
  <c r="V111" i="49"/>
  <c r="T111" i="49" s="1"/>
  <c r="P104" i="50" s="1"/>
  <c r="S109" i="49"/>
  <c r="Q109" i="49" s="1"/>
  <c r="N102" i="50" s="1"/>
  <c r="V80" i="49"/>
  <c r="T80" i="49" s="1"/>
  <c r="P73" i="50" s="1"/>
  <c r="P28" i="49"/>
  <c r="P24" i="49"/>
  <c r="V72" i="49"/>
  <c r="T72" i="49" s="1"/>
  <c r="P65" i="50" s="1"/>
  <c r="V46" i="49"/>
  <c r="T46" i="49" s="1"/>
  <c r="P39" i="50" s="1"/>
  <c r="V101" i="49"/>
  <c r="T101" i="49" s="1"/>
  <c r="P94" i="50" s="1"/>
  <c r="S33" i="49"/>
  <c r="Q33" i="49" s="1"/>
  <c r="N26" i="50" s="1"/>
  <c r="S119" i="49"/>
  <c r="Q119" i="49" s="1"/>
  <c r="N112" i="50" s="1"/>
  <c r="P18" i="49"/>
  <c r="S46" i="49"/>
  <c r="Q46" i="49" s="1"/>
  <c r="N39" i="50" s="1"/>
  <c r="S105" i="49"/>
  <c r="Q105" i="49" s="1"/>
  <c r="N98" i="50" s="1"/>
  <c r="P61" i="49"/>
  <c r="V30" i="49"/>
  <c r="T30" i="49" s="1"/>
  <c r="P23" i="50" s="1"/>
  <c r="V63" i="49"/>
  <c r="T63" i="49" s="1"/>
  <c r="P56" i="50" s="1"/>
  <c r="V69" i="49"/>
  <c r="T69" i="49" s="1"/>
  <c r="P62" i="50" s="1"/>
  <c r="S38" i="49"/>
  <c r="Q38" i="49" s="1"/>
  <c r="N31" i="50" s="1"/>
  <c r="V68" i="49"/>
  <c r="T68" i="49" s="1"/>
  <c r="V99" i="49"/>
  <c r="T99" i="49" s="1"/>
  <c r="P92" i="50" s="1"/>
  <c r="S30" i="49"/>
  <c r="Q30" i="49" s="1"/>
  <c r="N23" i="50" s="1"/>
  <c r="S52" i="49"/>
  <c r="Q52" i="49" s="1"/>
  <c r="N45" i="50" s="1"/>
  <c r="P88" i="49"/>
  <c r="V98" i="49"/>
  <c r="T98" i="49" s="1"/>
  <c r="P91" i="50" s="1"/>
  <c r="S104" i="49"/>
  <c r="Q104" i="49" s="1"/>
  <c r="N97" i="50" s="1"/>
  <c r="V45" i="49"/>
  <c r="T45" i="49" s="1"/>
  <c r="P38" i="50" s="1"/>
  <c r="S71" i="49"/>
  <c r="Q71" i="49" s="1"/>
  <c r="N64" i="50" s="1"/>
  <c r="V91" i="49"/>
  <c r="T91" i="49" s="1"/>
  <c r="P84" i="50" s="1"/>
  <c r="P101" i="49"/>
  <c r="M101" i="49" s="1"/>
  <c r="K101" i="49" s="1"/>
  <c r="J94" i="50" s="1"/>
  <c r="P120" i="49"/>
  <c r="P55" i="49"/>
  <c r="S34" i="49"/>
  <c r="Q34" i="49" s="1"/>
  <c r="N27" i="50" s="1"/>
  <c r="P79" i="49"/>
  <c r="V40" i="49"/>
  <c r="T40" i="49" s="1"/>
  <c r="P33" i="50" s="1"/>
  <c r="P39" i="49"/>
  <c r="V102" i="49"/>
  <c r="T102" i="49" s="1"/>
  <c r="P95" i="50" s="1"/>
  <c r="P91" i="49"/>
  <c r="S78" i="49"/>
  <c r="Q78" i="49" s="1"/>
  <c r="N71" i="50" s="1"/>
  <c r="P68" i="49"/>
  <c r="V29" i="49"/>
  <c r="T29" i="49" s="1"/>
  <c r="P22" i="50" s="1"/>
  <c r="S73" i="49"/>
  <c r="Q73" i="49" s="1"/>
  <c r="N66" i="50" s="1"/>
  <c r="P66" i="49"/>
  <c r="V97" i="49"/>
  <c r="T97" i="49" s="1"/>
  <c r="P90" i="50" s="1"/>
  <c r="V47" i="49"/>
  <c r="T47" i="49" s="1"/>
  <c r="P50" i="49"/>
  <c r="S58" i="49"/>
  <c r="Q58" i="49" s="1"/>
  <c r="N51" i="50" s="1"/>
  <c r="S113" i="49"/>
  <c r="Q113" i="49" s="1"/>
  <c r="N106" i="50" s="1"/>
  <c r="V66" i="49"/>
  <c r="T66" i="49" s="1"/>
  <c r="P59" i="50" s="1"/>
  <c r="V120" i="49"/>
  <c r="T120" i="49" s="1"/>
  <c r="P113" i="50" s="1"/>
  <c r="S96" i="49"/>
  <c r="Q96" i="49" s="1"/>
  <c r="N89" i="50" s="1"/>
  <c r="V56" i="49"/>
  <c r="T56" i="49" s="1"/>
  <c r="P49" i="50" s="1"/>
  <c r="V110" i="49"/>
  <c r="T110" i="49" s="1"/>
  <c r="P103" i="50" s="1"/>
  <c r="P106" i="49"/>
  <c r="P80" i="49"/>
  <c r="V31" i="49"/>
  <c r="T31" i="49" s="1"/>
  <c r="P24" i="50" s="1"/>
  <c r="V86" i="49"/>
  <c r="T86" i="49" s="1"/>
  <c r="P79" i="50" s="1"/>
  <c r="V77" i="49"/>
  <c r="T77" i="49" s="1"/>
  <c r="P70" i="50" s="1"/>
  <c r="S53" i="49"/>
  <c r="Q53" i="49" s="1"/>
  <c r="N46" i="50" s="1"/>
  <c r="P63" i="49"/>
  <c r="M63" i="49" s="1"/>
  <c r="K63" i="49" s="1"/>
  <c r="J56" i="50" s="1"/>
  <c r="P103" i="49"/>
  <c r="V19" i="49"/>
  <c r="T19" i="49" s="1"/>
  <c r="P12" i="50" s="1"/>
  <c r="V25" i="49"/>
  <c r="T25" i="49" s="1"/>
  <c r="P18" i="50" s="1"/>
  <c r="V103" i="49"/>
  <c r="T103" i="49" s="1"/>
  <c r="P96" i="50" s="1"/>
  <c r="V112" i="49"/>
  <c r="T112" i="49" s="1"/>
  <c r="P105" i="50" s="1"/>
  <c r="V38" i="49"/>
  <c r="T38" i="49" s="1"/>
  <c r="V81" i="49"/>
  <c r="T81" i="49" s="1"/>
  <c r="P74" i="50" s="1"/>
  <c r="P110" i="49"/>
  <c r="P102" i="49"/>
  <c r="P75" i="49"/>
  <c r="S21" i="49"/>
  <c r="Q21" i="49" s="1"/>
  <c r="N14" i="50" s="1"/>
  <c r="V76" i="49"/>
  <c r="T76" i="49" s="1"/>
  <c r="P69" i="50" s="1"/>
  <c r="V34" i="49"/>
  <c r="T34" i="49" s="1"/>
  <c r="V92" i="49"/>
  <c r="T92" i="49" s="1"/>
  <c r="P85" i="50" s="1"/>
  <c r="V43" i="49"/>
  <c r="T43" i="49" s="1"/>
  <c r="P36" i="50" s="1"/>
  <c r="P19" i="49"/>
  <c r="S87" i="49"/>
  <c r="Q87" i="49" s="1"/>
  <c r="N80" i="50" s="1"/>
  <c r="S24" i="49"/>
  <c r="Q24" i="49" s="1"/>
  <c r="N17" i="50" s="1"/>
  <c r="P62" i="49"/>
  <c r="V41" i="49"/>
  <c r="T41" i="49" s="1"/>
  <c r="P34" i="50" s="1"/>
  <c r="S17" i="49"/>
  <c r="Q17" i="49" s="1"/>
  <c r="N10" i="50" s="1"/>
  <c r="S103" i="49"/>
  <c r="Q103" i="49" s="1"/>
  <c r="N96" i="50" s="1"/>
  <c r="P42" i="49"/>
  <c r="M42" i="49" s="1"/>
  <c r="K42" i="49" s="1"/>
  <c r="J35" i="50" s="1"/>
  <c r="P51" i="49"/>
  <c r="S20" i="49"/>
  <c r="Q20" i="49" s="1"/>
  <c r="N13" i="50" s="1"/>
  <c r="P27" i="49"/>
  <c r="M27" i="49" s="1"/>
  <c r="K27" i="49" s="1"/>
  <c r="J20" i="50" s="1"/>
  <c r="S107" i="49"/>
  <c r="Q107" i="49" s="1"/>
  <c r="N100" i="50" s="1"/>
  <c r="V37" i="49"/>
  <c r="T37" i="49" s="1"/>
  <c r="P30" i="50" s="1"/>
  <c r="V119" i="49"/>
  <c r="T119" i="49" s="1"/>
  <c r="P112" i="50" s="1"/>
  <c r="P35" i="49"/>
  <c r="V50" i="49"/>
  <c r="T50" i="49" s="1"/>
  <c r="V17" i="49"/>
  <c r="T17" i="49" s="1"/>
  <c r="P10" i="50" s="1"/>
  <c r="S93" i="49"/>
  <c r="Q93" i="49" s="1"/>
  <c r="S19" i="49"/>
  <c r="Q19" i="49" s="1"/>
  <c r="N12" i="50" s="1"/>
  <c r="V114" i="49"/>
  <c r="T114" i="49" s="1"/>
  <c r="V84" i="49"/>
  <c r="T84" i="49" s="1"/>
  <c r="P77" i="50" s="1"/>
  <c r="P96" i="49"/>
  <c r="P26" i="49"/>
  <c r="S98" i="49"/>
  <c r="Q98" i="49" s="1"/>
  <c r="N91" i="50" s="1"/>
  <c r="P57" i="49"/>
  <c r="S25" i="49"/>
  <c r="Q25" i="49" s="1"/>
  <c r="N18" i="50" s="1"/>
  <c r="S29" i="49"/>
  <c r="Q29" i="49" s="1"/>
  <c r="N22" i="50" s="1"/>
  <c r="S116" i="49"/>
  <c r="Q116" i="49" s="1"/>
  <c r="N109" i="50" s="1"/>
  <c r="S102" i="49"/>
  <c r="Q102" i="49" s="1"/>
  <c r="N95" i="50" s="1"/>
  <c r="V104" i="49"/>
  <c r="T104" i="49" s="1"/>
  <c r="P97" i="50" s="1"/>
  <c r="S61" i="49"/>
  <c r="Q61" i="49" s="1"/>
  <c r="N54" i="50" s="1"/>
  <c r="V118" i="49"/>
  <c r="T118" i="49" s="1"/>
  <c r="P111" i="50" s="1"/>
  <c r="P82" i="49"/>
  <c r="P54" i="49"/>
  <c r="S108" i="49"/>
  <c r="Q108" i="49" s="1"/>
  <c r="V57" i="49"/>
  <c r="T57" i="49" s="1"/>
  <c r="P50" i="50" s="1"/>
  <c r="P108" i="49"/>
  <c r="P29" i="49"/>
  <c r="P58" i="49"/>
  <c r="S57" i="49"/>
  <c r="Q57" i="49" s="1"/>
  <c r="N50" i="50" s="1"/>
  <c r="P116" i="49"/>
  <c r="V62" i="49"/>
  <c r="T62" i="49" s="1"/>
  <c r="P55" i="50" s="1"/>
  <c r="V105" i="49"/>
  <c r="T105" i="49" s="1"/>
  <c r="P98" i="50" s="1"/>
  <c r="S76" i="49"/>
  <c r="Q76" i="49" s="1"/>
  <c r="N69" i="50" s="1"/>
  <c r="V116" i="49"/>
  <c r="T116" i="49" s="1"/>
  <c r="P109" i="50" s="1"/>
  <c r="S89" i="49"/>
  <c r="Q89" i="49" s="1"/>
  <c r="N82" i="50" s="1"/>
  <c r="V74" i="49"/>
  <c r="T74" i="49" s="1"/>
  <c r="P67" i="50" s="1"/>
  <c r="P72" i="49"/>
  <c r="S67" i="49"/>
  <c r="Q67" i="49" s="1"/>
  <c r="N60" i="50" s="1"/>
  <c r="V48" i="49"/>
  <c r="T48" i="49" s="1"/>
  <c r="P41" i="50" s="1"/>
  <c r="P40" i="49"/>
  <c r="S70" i="49"/>
  <c r="Q70" i="49" s="1"/>
  <c r="N63" i="50" s="1"/>
  <c r="P73" i="49"/>
  <c r="V100" i="49"/>
  <c r="T100" i="49" s="1"/>
  <c r="P93" i="50" s="1"/>
  <c r="V123" i="49"/>
  <c r="T123" i="49" s="1"/>
  <c r="P116" i="50" s="1"/>
  <c r="V121" i="49"/>
  <c r="T121" i="49" s="1"/>
  <c r="S99" i="49"/>
  <c r="Q99" i="49" s="1"/>
  <c r="N92" i="50" s="1"/>
  <c r="P123" i="49"/>
  <c r="P95" i="49"/>
  <c r="S64" i="49"/>
  <c r="V18" i="49"/>
  <c r="T18" i="49" s="1"/>
  <c r="S49" i="49"/>
  <c r="Q49" i="49" s="1"/>
  <c r="N42" i="50" s="1"/>
  <c r="V79" i="49"/>
  <c r="T79" i="49" s="1"/>
  <c r="P72" i="50" s="1"/>
  <c r="V93" i="49"/>
  <c r="T93" i="49" s="1"/>
  <c r="P86" i="50" s="1"/>
  <c r="V35" i="49"/>
  <c r="T35" i="49" s="1"/>
  <c r="P28" i="50" s="1"/>
  <c r="S79" i="49"/>
  <c r="Q79" i="49" s="1"/>
  <c r="N72" i="50" s="1"/>
  <c r="V52" i="49"/>
  <c r="T52" i="49" s="1"/>
  <c r="P45" i="50" s="1"/>
  <c r="V107" i="49"/>
  <c r="T107" i="49" s="1"/>
  <c r="P100" i="50" s="1"/>
  <c r="P119" i="49"/>
  <c r="M119" i="49" s="1"/>
  <c r="K119" i="49" s="1"/>
  <c r="J112" i="50" s="1"/>
  <c r="P87" i="49"/>
  <c r="S26" i="49"/>
  <c r="Q26" i="49" s="1"/>
  <c r="N19" i="50" s="1"/>
  <c r="P104" i="49"/>
  <c r="P92" i="49"/>
  <c r="V85" i="49"/>
  <c r="T85" i="49" s="1"/>
  <c r="P78" i="50" s="1"/>
  <c r="V94" i="49"/>
  <c r="T94" i="49" s="1"/>
  <c r="P87" i="50" s="1"/>
  <c r="V60" i="49"/>
  <c r="T60" i="49" s="1"/>
  <c r="P17" i="49"/>
  <c r="P48" i="49"/>
  <c r="S32" i="49"/>
  <c r="Q32" i="49" s="1"/>
  <c r="N25" i="50" s="1"/>
  <c r="P89" i="49"/>
  <c r="P107" i="49"/>
  <c r="Y24" i="5"/>
  <c r="AB24" i="5" s="1"/>
  <c r="Y25" i="5"/>
  <c r="AB25" i="5" s="1"/>
  <c r="Y26" i="5"/>
  <c r="AB26" i="5" s="1"/>
  <c r="Y22" i="5"/>
  <c r="AB22" i="5" s="1"/>
  <c r="E25" i="39"/>
  <c r="Y30" i="5"/>
  <c r="AB30" i="5" s="1"/>
  <c r="Y27" i="5"/>
  <c r="AB27" i="5" s="1"/>
  <c r="B22" i="58"/>
  <c r="Y29" i="5"/>
  <c r="AB29" i="5" s="1"/>
  <c r="E37" i="34"/>
  <c r="Y23" i="5"/>
  <c r="AB23" i="5" s="1"/>
  <c r="W23" i="5" s="1"/>
  <c r="Y28" i="5"/>
  <c r="AB28" i="5" s="1"/>
  <c r="H9" i="10"/>
  <c r="Y21" i="5"/>
  <c r="AB21" i="5" s="1"/>
  <c r="W21" i="5" s="1"/>
  <c r="H25" i="39"/>
  <c r="E43" i="39"/>
  <c r="E13" i="34"/>
  <c r="Y151" i="5"/>
  <c r="AB151" i="5" s="1"/>
  <c r="Y153" i="5"/>
  <c r="AB153" i="5" s="1"/>
  <c r="B40" i="58"/>
  <c r="H9" i="12"/>
  <c r="Y155" i="5"/>
  <c r="AB155" i="5" s="1"/>
  <c r="Y154" i="5"/>
  <c r="AB154" i="5" s="1"/>
  <c r="H43" i="39"/>
  <c r="Y150" i="5"/>
  <c r="AB150" i="5" s="1"/>
  <c r="Y152" i="5"/>
  <c r="AB152" i="5" s="1"/>
  <c r="Y157" i="5"/>
  <c r="AB157" i="5" s="1"/>
  <c r="Y156" i="5"/>
  <c r="AB156" i="5" s="1"/>
  <c r="B29" i="58"/>
  <c r="Y81" i="5"/>
  <c r="AB81" i="5" s="1"/>
  <c r="Y88" i="5"/>
  <c r="AB88" i="5" s="1"/>
  <c r="Y82" i="5"/>
  <c r="AB82" i="5" s="1"/>
  <c r="H32" i="39"/>
  <c r="Y84" i="5"/>
  <c r="AB84" i="5" s="1"/>
  <c r="Y83" i="5"/>
  <c r="AB83" i="5" s="1"/>
  <c r="H34" i="34"/>
  <c r="Y85" i="5"/>
  <c r="AB85" i="5" s="1"/>
  <c r="H11" i="16"/>
  <c r="E32" i="39"/>
  <c r="Y87" i="5"/>
  <c r="AB87" i="5" s="1"/>
  <c r="Y86" i="5"/>
  <c r="AB86" i="5" s="1"/>
  <c r="Y70" i="5"/>
  <c r="AB70" i="5" s="1"/>
  <c r="Y71" i="5"/>
  <c r="AB71" i="5" s="1"/>
  <c r="H9" i="16"/>
  <c r="E30" i="39"/>
  <c r="Y66" i="5"/>
  <c r="AB66" i="5" s="1"/>
  <c r="Y61" i="5"/>
  <c r="AB61" i="5" s="1"/>
  <c r="Y67" i="5"/>
  <c r="AB67" i="5" s="1"/>
  <c r="H30" i="39"/>
  <c r="H32" i="34"/>
  <c r="B27" i="58"/>
  <c r="Y72" i="5"/>
  <c r="AB72" i="5" s="1"/>
  <c r="Y69" i="5"/>
  <c r="AB69" i="5" s="1"/>
  <c r="Y63" i="5"/>
  <c r="AB63" i="5" s="1"/>
  <c r="Y60" i="5"/>
  <c r="AB60" i="5" s="1"/>
  <c r="Y64" i="5"/>
  <c r="AB64" i="5" s="1"/>
  <c r="Y68" i="5"/>
  <c r="AB68" i="5" s="1"/>
  <c r="Y65" i="5"/>
  <c r="AB65" i="5" s="1"/>
  <c r="Y62" i="5"/>
  <c r="AB62" i="5" s="1"/>
  <c r="E76" i="39"/>
  <c r="B73" i="58"/>
  <c r="Y371" i="5"/>
  <c r="AB371" i="5" s="1"/>
  <c r="Y368" i="5"/>
  <c r="AB368" i="5" s="1"/>
  <c r="Y370" i="5"/>
  <c r="AB370" i="5" s="1"/>
  <c r="H9" i="20"/>
  <c r="Y367" i="5"/>
  <c r="AB367" i="5" s="1"/>
  <c r="H76" i="39"/>
  <c r="Y372" i="5"/>
  <c r="AB372" i="5" s="1"/>
  <c r="Y369" i="5"/>
  <c r="AB369" i="5" s="1"/>
  <c r="H25" i="34"/>
  <c r="W7" i="5"/>
  <c r="E60" i="39"/>
  <c r="B57" i="58"/>
  <c r="S8" i="5"/>
  <c r="H4" i="17"/>
  <c r="H60" i="39"/>
  <c r="E40" i="34"/>
  <c r="W13" i="5"/>
  <c r="H63" i="39"/>
  <c r="B60" i="58"/>
  <c r="E63" i="39"/>
  <c r="Y290" i="5"/>
  <c r="AB290" i="5" s="1"/>
  <c r="E43" i="34"/>
  <c r="Y287" i="5"/>
  <c r="AB287" i="5" s="1"/>
  <c r="Y291" i="5"/>
  <c r="AB291" i="5" s="1"/>
  <c r="Y286" i="5"/>
  <c r="AB286" i="5" s="1"/>
  <c r="Y289" i="5"/>
  <c r="AB289" i="5" s="1"/>
  <c r="Y285" i="5"/>
  <c r="AB285" i="5" s="1"/>
  <c r="Y288" i="5"/>
  <c r="AB288" i="5" s="1"/>
  <c r="H9" i="17"/>
  <c r="W6" i="5"/>
  <c r="W9" i="5"/>
  <c r="G10" i="48"/>
  <c r="H10" i="48" s="1"/>
  <c r="I10" i="48" s="1"/>
  <c r="B14" i="58"/>
  <c r="E17" i="39"/>
  <c r="H17" i="39"/>
  <c r="E69" i="39"/>
  <c r="B66" i="58"/>
  <c r="H4" i="21"/>
  <c r="H69" i="39"/>
  <c r="E22" i="34"/>
  <c r="S5" i="5"/>
  <c r="Y115" i="5"/>
  <c r="AB115" i="5" s="1"/>
  <c r="Y114" i="5"/>
  <c r="AB114" i="5" s="1"/>
  <c r="E37" i="39"/>
  <c r="B34" i="58"/>
  <c r="Y113" i="5"/>
  <c r="AB113" i="5" s="1"/>
  <c r="H37" i="39"/>
  <c r="H9" i="8"/>
  <c r="Y111" i="5"/>
  <c r="AB111" i="5" s="1"/>
  <c r="Y112" i="5"/>
  <c r="AB112" i="5" s="1"/>
  <c r="E18" i="34"/>
  <c r="O7" i="5"/>
  <c r="E28" i="39"/>
  <c r="Y41" i="5"/>
  <c r="AB41" i="5" s="1"/>
  <c r="W41" i="5" s="1"/>
  <c r="Y40" i="5"/>
  <c r="AB40" i="5" s="1"/>
  <c r="Y37" i="5"/>
  <c r="AB37" i="5" s="1"/>
  <c r="Y44" i="5"/>
  <c r="AB44" i="5" s="1"/>
  <c r="Y46" i="5"/>
  <c r="AB46" i="5" s="1"/>
  <c r="B25" i="58"/>
  <c r="Y43" i="5"/>
  <c r="AB43" i="5" s="1"/>
  <c r="Y39" i="5"/>
  <c r="AB39" i="5" s="1"/>
  <c r="H7" i="16"/>
  <c r="H30" i="34"/>
  <c r="Y47" i="5"/>
  <c r="AB47" i="5" s="1"/>
  <c r="H28" i="39"/>
  <c r="Y38" i="5"/>
  <c r="AB38" i="5" s="1"/>
  <c r="Y45" i="5"/>
  <c r="AB45" i="5" s="1"/>
  <c r="Y42" i="5"/>
  <c r="AB42" i="5" s="1"/>
  <c r="E45" i="39"/>
  <c r="Y159" i="5"/>
  <c r="AB159" i="5" s="1"/>
  <c r="H38" i="34"/>
  <c r="Y161" i="5"/>
  <c r="AB161" i="5" s="1"/>
  <c r="Y164" i="5"/>
  <c r="AB164" i="5" s="1"/>
  <c r="Y165" i="5"/>
  <c r="AB165" i="5" s="1"/>
  <c r="O24" i="5"/>
  <c r="Y158" i="5"/>
  <c r="AB158" i="5" s="1"/>
  <c r="Y162" i="5"/>
  <c r="AB162" i="5" s="1"/>
  <c r="Y163" i="5"/>
  <c r="AB163" i="5" s="1"/>
  <c r="B42" i="58"/>
  <c r="Y160" i="5"/>
  <c r="AB160" i="5" s="1"/>
  <c r="H7" i="14"/>
  <c r="H45" i="39"/>
  <c r="O2" i="5"/>
  <c r="W2" i="5"/>
  <c r="H49" i="39"/>
  <c r="Y184" i="5"/>
  <c r="AB184" i="5" s="1"/>
  <c r="Y182" i="5"/>
  <c r="AB182" i="5" s="1"/>
  <c r="H7" i="18"/>
  <c r="Y185" i="5"/>
  <c r="AB185" i="5" s="1"/>
  <c r="Y186" i="5"/>
  <c r="AB186" i="5" s="1"/>
  <c r="E49" i="39"/>
  <c r="B46" i="58"/>
  <c r="H11" i="34"/>
  <c r="Y183" i="5"/>
  <c r="AB183" i="5" s="1"/>
  <c r="Y187" i="5"/>
  <c r="AB187" i="5" s="1"/>
  <c r="O28" i="5"/>
  <c r="W17" i="5"/>
  <c r="Y194" i="5"/>
  <c r="AB194" i="5" s="1"/>
  <c r="Y193" i="5"/>
  <c r="AB193" i="5" s="1"/>
  <c r="Y195" i="5"/>
  <c r="AB195" i="5" s="1"/>
  <c r="Y192" i="5"/>
  <c r="AB192" i="5" s="1"/>
  <c r="Y191" i="5"/>
  <c r="AB191" i="5" s="1"/>
  <c r="B47" i="58"/>
  <c r="Y196" i="5"/>
  <c r="AB196" i="5" s="1"/>
  <c r="Y189" i="5"/>
  <c r="AB189" i="5" s="1"/>
  <c r="Y190" i="5"/>
  <c r="AB190" i="5" s="1"/>
  <c r="H50" i="39"/>
  <c r="H8" i="18"/>
  <c r="H12" i="34"/>
  <c r="E50" i="39"/>
  <c r="Y188" i="5"/>
  <c r="AB188" i="5" s="1"/>
  <c r="H77" i="39"/>
  <c r="Y377" i="5"/>
  <c r="AB377" i="5" s="1"/>
  <c r="Y376" i="5"/>
  <c r="AB376" i="5" s="1"/>
  <c r="Y375" i="5"/>
  <c r="AB375" i="5" s="1"/>
  <c r="Y374" i="5"/>
  <c r="AB374" i="5" s="1"/>
  <c r="Y378" i="5"/>
  <c r="AB378" i="5" s="1"/>
  <c r="Y373" i="5"/>
  <c r="AB373" i="5" s="1"/>
  <c r="B74" i="58"/>
  <c r="H26" i="34"/>
  <c r="H10" i="20"/>
  <c r="E77" i="39"/>
  <c r="G18" i="48"/>
  <c r="H18" i="48" s="1"/>
  <c r="I18" i="48" s="1"/>
  <c r="H21" i="39"/>
  <c r="B18" i="58"/>
  <c r="E21" i="39"/>
  <c r="B17" i="58"/>
  <c r="E20" i="39"/>
  <c r="G16" i="48"/>
  <c r="H16" i="48" s="1"/>
  <c r="I16" i="48" s="1"/>
  <c r="H20" i="39"/>
  <c r="W18" i="5"/>
  <c r="W12" i="5"/>
  <c r="W31" i="5"/>
  <c r="W10" i="5"/>
  <c r="V120" i="60"/>
  <c r="T120" i="60" s="1"/>
  <c r="V39" i="60"/>
  <c r="P43" i="60"/>
  <c r="S37" i="60"/>
  <c r="Q37" i="60" s="1"/>
  <c r="V70" i="60"/>
  <c r="T70" i="60" s="1"/>
  <c r="V29" i="60"/>
  <c r="T29" i="60" s="1"/>
  <c r="S65" i="60"/>
  <c r="Q65" i="60" s="1"/>
  <c r="S78" i="60"/>
  <c r="Q78" i="60" s="1"/>
  <c r="S71" i="60"/>
  <c r="S108" i="60"/>
  <c r="Q108" i="60" s="1"/>
  <c r="S42" i="60"/>
  <c r="Q42" i="60" s="1"/>
  <c r="P102" i="60"/>
  <c r="V34" i="60"/>
  <c r="T34" i="60" s="1"/>
  <c r="V121" i="60"/>
  <c r="P77" i="60"/>
  <c r="S97" i="60"/>
  <c r="Q97" i="60" s="1"/>
  <c r="V76" i="60"/>
  <c r="T76" i="60" s="1"/>
  <c r="V95" i="60"/>
  <c r="T95" i="60" s="1"/>
  <c r="P67" i="60"/>
  <c r="P69" i="60"/>
  <c r="V113" i="60"/>
  <c r="P32" i="60"/>
  <c r="V58" i="60"/>
  <c r="P80" i="60"/>
  <c r="S106" i="60"/>
  <c r="Q106" i="60" s="1"/>
  <c r="V110" i="60"/>
  <c r="T110" i="60" s="1"/>
  <c r="P49" i="60"/>
  <c r="V88" i="60"/>
  <c r="T88" i="60" s="1"/>
  <c r="S84" i="60"/>
  <c r="Q84" i="60" s="1"/>
  <c r="P100" i="60"/>
  <c r="V26" i="60"/>
  <c r="T26" i="60" s="1"/>
  <c r="V85" i="60"/>
  <c r="T85" i="60" s="1"/>
  <c r="V54" i="60"/>
  <c r="T54" i="60" s="1"/>
  <c r="V100" i="60"/>
  <c r="T100" i="60" s="1"/>
  <c r="V123" i="60"/>
  <c r="T123" i="60" s="1"/>
  <c r="V84" i="60"/>
  <c r="S86" i="60"/>
  <c r="Q86" i="60" s="1"/>
  <c r="P94" i="60"/>
  <c r="P64" i="60"/>
  <c r="S77" i="60"/>
  <c r="Q77" i="60" s="1"/>
  <c r="P51" i="60"/>
  <c r="V83" i="60"/>
  <c r="T83" i="60" s="1"/>
  <c r="P21" i="60"/>
  <c r="P110" i="60"/>
  <c r="V118" i="60"/>
  <c r="T118" i="60" s="1"/>
  <c r="V31" i="60"/>
  <c r="T31" i="60" s="1"/>
  <c r="S107" i="60"/>
  <c r="Q107" i="60" s="1"/>
  <c r="V102" i="60"/>
  <c r="T102" i="60" s="1"/>
  <c r="P46" i="60"/>
  <c r="P83" i="60"/>
  <c r="V97" i="60"/>
  <c r="T97" i="60" s="1"/>
  <c r="S120" i="60"/>
  <c r="Q120" i="60" s="1"/>
  <c r="S99" i="60"/>
  <c r="Q99" i="60" s="1"/>
  <c r="S91" i="60"/>
  <c r="Q91" i="60" s="1"/>
  <c r="S47" i="60"/>
  <c r="Q47" i="60" s="1"/>
  <c r="S31" i="60"/>
  <c r="Q31" i="60" s="1"/>
  <c r="P66" i="60"/>
  <c r="V65" i="60"/>
  <c r="T65" i="60" s="1"/>
  <c r="P107" i="60"/>
  <c r="V45" i="60"/>
  <c r="V99" i="60"/>
  <c r="T99" i="60" s="1"/>
  <c r="P29" i="60"/>
  <c r="V37" i="60"/>
  <c r="T37" i="60" s="1"/>
  <c r="V20" i="60"/>
  <c r="T20" i="60" s="1"/>
  <c r="S27" i="60"/>
  <c r="Q27" i="60" s="1"/>
  <c r="S113" i="60"/>
  <c r="P112" i="60"/>
  <c r="S75" i="60"/>
  <c r="Q75" i="60" s="1"/>
  <c r="P63" i="60"/>
  <c r="V23" i="60"/>
  <c r="T23" i="60" s="1"/>
  <c r="P57" i="60"/>
  <c r="V75" i="60"/>
  <c r="T75" i="60" s="1"/>
  <c r="P91" i="60"/>
  <c r="V67" i="60"/>
  <c r="T67" i="60" s="1"/>
  <c r="P84" i="60"/>
  <c r="S49" i="60"/>
  <c r="Q49" i="60" s="1"/>
  <c r="V106" i="60"/>
  <c r="T106" i="60" s="1"/>
  <c r="V22" i="60"/>
  <c r="S59" i="60"/>
  <c r="Q59" i="60" s="1"/>
  <c r="P47" i="60"/>
  <c r="V56" i="60"/>
  <c r="T56" i="60" s="1"/>
  <c r="S68" i="60"/>
  <c r="Q68" i="60" s="1"/>
  <c r="P22" i="60"/>
  <c r="V21" i="60"/>
  <c r="T21" i="60" s="1"/>
  <c r="V50" i="60"/>
  <c r="V116" i="60"/>
  <c r="T116" i="60" s="1"/>
  <c r="S52" i="60"/>
  <c r="Q52" i="60" s="1"/>
  <c r="S105" i="60"/>
  <c r="Q105" i="60" s="1"/>
  <c r="S39" i="60"/>
  <c r="S20" i="60"/>
  <c r="Q20" i="60" s="1"/>
  <c r="S94" i="60"/>
  <c r="Q94" i="60" s="1"/>
  <c r="P38" i="60"/>
  <c r="S22" i="60"/>
  <c r="Q22" i="60" s="1"/>
  <c r="S79" i="60"/>
  <c r="Q79" i="60" s="1"/>
  <c r="P71" i="60"/>
  <c r="P116" i="60"/>
  <c r="P16" i="60"/>
  <c r="S95" i="60"/>
  <c r="Q95" i="60" s="1"/>
  <c r="P82" i="60"/>
  <c r="S67" i="60"/>
  <c r="Q67" i="60" s="1"/>
  <c r="V108" i="60"/>
  <c r="T108" i="60" s="1"/>
  <c r="S92" i="60"/>
  <c r="Q92" i="60" s="1"/>
  <c r="V91" i="60"/>
  <c r="T91" i="60" s="1"/>
  <c r="P40" i="60"/>
  <c r="V28" i="60"/>
  <c r="T28" i="60" s="1"/>
  <c r="P33" i="60"/>
  <c r="S41" i="60"/>
  <c r="Q41" i="60" s="1"/>
  <c r="V71" i="60"/>
  <c r="V43" i="60"/>
  <c r="T43" i="60" s="1"/>
  <c r="V90" i="60"/>
  <c r="T90" i="60" s="1"/>
  <c r="P122" i="60"/>
  <c r="P113" i="60"/>
  <c r="S119" i="60"/>
  <c r="Q119" i="60" s="1"/>
  <c r="V69" i="60"/>
  <c r="T69" i="60" s="1"/>
  <c r="S90" i="60"/>
  <c r="Q90" i="60" s="1"/>
  <c r="S100" i="60"/>
  <c r="Q100" i="60" s="1"/>
  <c r="V48" i="60"/>
  <c r="V81" i="60"/>
  <c r="T81" i="60" s="1"/>
  <c r="S29" i="60"/>
  <c r="Q29" i="60" s="1"/>
  <c r="P19" i="60"/>
  <c r="P55" i="60"/>
  <c r="S69" i="60"/>
  <c r="V16" i="60"/>
  <c r="T16" i="60" s="1"/>
  <c r="S16" i="60"/>
  <c r="Q16" i="60" s="1"/>
  <c r="V103" i="60"/>
  <c r="P53" i="60"/>
  <c r="P86" i="60"/>
  <c r="P123" i="60"/>
  <c r="V63" i="60"/>
  <c r="T63" i="60" s="1"/>
  <c r="V19" i="60"/>
  <c r="S76" i="60"/>
  <c r="Q76" i="60" s="1"/>
  <c r="P108" i="60"/>
  <c r="V62" i="60"/>
  <c r="T62" i="60" s="1"/>
  <c r="S63" i="60"/>
  <c r="Q63" i="60" s="1"/>
  <c r="V94" i="60"/>
  <c r="T94" i="60" s="1"/>
  <c r="V93" i="60"/>
  <c r="T93" i="60" s="1"/>
  <c r="V53" i="60"/>
  <c r="T53" i="60" s="1"/>
  <c r="S21" i="60"/>
  <c r="Q21" i="60" s="1"/>
  <c r="V107" i="60"/>
  <c r="T107" i="60" s="1"/>
  <c r="V24" i="60"/>
  <c r="T24" i="60" s="1"/>
  <c r="V64" i="60"/>
  <c r="T64" i="60" s="1"/>
  <c r="P114" i="60"/>
  <c r="S33" i="60"/>
  <c r="Q33" i="60" s="1"/>
  <c r="V82" i="60"/>
  <c r="T82" i="60" s="1"/>
  <c r="S18" i="60"/>
  <c r="Q18" i="60" s="1"/>
  <c r="V79" i="60"/>
  <c r="T79" i="60" s="1"/>
  <c r="V80" i="60"/>
  <c r="P24" i="60"/>
  <c r="V112" i="60"/>
  <c r="T112" i="60" s="1"/>
  <c r="P35" i="60"/>
  <c r="S54" i="60"/>
  <c r="Q54" i="60" s="1"/>
  <c r="V55" i="60"/>
  <c r="T55" i="60" s="1"/>
  <c r="P58" i="60"/>
  <c r="S115" i="60"/>
  <c r="Q115" i="60" s="1"/>
  <c r="V33" i="60"/>
  <c r="T33" i="60" s="1"/>
  <c r="V25" i="60"/>
  <c r="T25" i="60" s="1"/>
  <c r="S17" i="60"/>
  <c r="Q17" i="60" s="1"/>
  <c r="P85" i="60"/>
  <c r="V61" i="60"/>
  <c r="T61" i="60" s="1"/>
  <c r="P96" i="60"/>
  <c r="S87" i="60"/>
  <c r="Q87" i="60" s="1"/>
  <c r="V44" i="60"/>
  <c r="T44" i="60" s="1"/>
  <c r="P27" i="60"/>
  <c r="S57" i="60"/>
  <c r="Q57" i="60" s="1"/>
  <c r="V40" i="60"/>
  <c r="T40" i="60" s="1"/>
  <c r="V46" i="60"/>
  <c r="T46" i="60" s="1"/>
  <c r="P36" i="60"/>
  <c r="P17" i="60"/>
  <c r="S28" i="60"/>
  <c r="Q28" i="60" s="1"/>
  <c r="V42" i="60"/>
  <c r="T42" i="60" s="1"/>
  <c r="V104" i="60"/>
  <c r="S32" i="60"/>
  <c r="Q32" i="60" s="1"/>
  <c r="P60" i="60"/>
  <c r="S98" i="60"/>
  <c r="Q98" i="60" s="1"/>
  <c r="V117" i="60"/>
  <c r="T117" i="60" s="1"/>
  <c r="S24" i="60"/>
  <c r="Q24" i="60" s="1"/>
  <c r="P101" i="60"/>
  <c r="P89" i="60"/>
  <c r="V87" i="60"/>
  <c r="T87" i="60" s="1"/>
  <c r="S81" i="60"/>
  <c r="Q81" i="60" s="1"/>
  <c r="P65" i="60"/>
  <c r="P79" i="60"/>
  <c r="S109" i="60"/>
  <c r="Q109" i="60" s="1"/>
  <c r="V105" i="60"/>
  <c r="T105" i="60" s="1"/>
  <c r="S96" i="60"/>
  <c r="Q96" i="60" s="1"/>
  <c r="V111" i="60"/>
  <c r="T111" i="60" s="1"/>
  <c r="S55" i="60"/>
  <c r="Q55" i="60" s="1"/>
  <c r="P117" i="60"/>
  <c r="P92" i="60"/>
  <c r="P62" i="60"/>
  <c r="S43" i="60"/>
  <c r="Q43" i="60" s="1"/>
  <c r="S56" i="60"/>
  <c r="Q56" i="60" s="1"/>
  <c r="V73" i="60"/>
  <c r="T73" i="60" s="1"/>
  <c r="S118" i="60"/>
  <c r="Q118" i="60" s="1"/>
  <c r="S60" i="60"/>
  <c r="Q60" i="60" s="1"/>
  <c r="P78" i="60"/>
  <c r="S80" i="60"/>
  <c r="Q80" i="60" s="1"/>
  <c r="V30" i="60"/>
  <c r="T30" i="60" s="1"/>
  <c r="P54" i="60"/>
  <c r="S30" i="60"/>
  <c r="Q30" i="60" s="1"/>
  <c r="P88" i="60"/>
  <c r="P109" i="60"/>
  <c r="S88" i="60"/>
  <c r="Q88" i="60" s="1"/>
  <c r="P99" i="60"/>
  <c r="M99" i="60" s="1"/>
  <c r="K99" i="60" s="1"/>
  <c r="V59" i="60"/>
  <c r="T59" i="60" s="1"/>
  <c r="P30" i="60"/>
  <c r="P18" i="60"/>
  <c r="V86" i="60"/>
  <c r="T86" i="60" s="1"/>
  <c r="S62" i="60"/>
  <c r="Q62" i="60" s="1"/>
  <c r="V109" i="60"/>
  <c r="T109" i="60" s="1"/>
  <c r="P72" i="60"/>
  <c r="S121" i="60"/>
  <c r="P81" i="60"/>
  <c r="P61" i="60"/>
  <c r="S25" i="60"/>
  <c r="Q25" i="60" s="1"/>
  <c r="V17" i="60"/>
  <c r="T17" i="60" s="1"/>
  <c r="P121" i="60"/>
  <c r="V52" i="60"/>
  <c r="T52" i="60" s="1"/>
  <c r="S64" i="60"/>
  <c r="Q64" i="60" s="1"/>
  <c r="S112" i="60"/>
  <c r="Q112" i="60" s="1"/>
  <c r="V38" i="60"/>
  <c r="T38" i="60" s="1"/>
  <c r="P31" i="60"/>
  <c r="P44" i="60"/>
  <c r="S61" i="60"/>
  <c r="Q61" i="60" s="1"/>
  <c r="P106" i="60"/>
  <c r="P118" i="60"/>
  <c r="S35" i="60"/>
  <c r="Q35" i="60" s="1"/>
  <c r="V72" i="60"/>
  <c r="T72" i="60" s="1"/>
  <c r="P111" i="60"/>
  <c r="V18" i="60"/>
  <c r="T18" i="60" s="1"/>
  <c r="S114" i="60"/>
  <c r="P90" i="60"/>
  <c r="V78" i="60"/>
  <c r="T78" i="60" s="1"/>
  <c r="S83" i="60"/>
  <c r="Q83" i="60" s="1"/>
  <c r="S110" i="60"/>
  <c r="P56" i="60"/>
  <c r="P73" i="60"/>
  <c r="P42" i="60"/>
  <c r="P87" i="60"/>
  <c r="S26" i="60"/>
  <c r="Q26" i="60" s="1"/>
  <c r="V89" i="60"/>
  <c r="T89" i="60" s="1"/>
  <c r="S123" i="60"/>
  <c r="Q123" i="60" s="1"/>
  <c r="S72" i="60"/>
  <c r="Q72" i="60" s="1"/>
  <c r="P23" i="60"/>
  <c r="V57" i="60"/>
  <c r="T57" i="60" s="1"/>
  <c r="P105" i="60"/>
  <c r="S45" i="60"/>
  <c r="Q45" i="60" s="1"/>
  <c r="V32" i="60"/>
  <c r="T32" i="60" s="1"/>
  <c r="V115" i="60"/>
  <c r="T115" i="60" s="1"/>
  <c r="P120" i="60"/>
  <c r="M120" i="60" s="1"/>
  <c r="K120" i="60" s="1"/>
  <c r="S19" i="60"/>
  <c r="Q19" i="60" s="1"/>
  <c r="V49" i="60"/>
  <c r="T49" i="60" s="1"/>
  <c r="S53" i="60"/>
  <c r="Q53" i="60" s="1"/>
  <c r="S36" i="60"/>
  <c r="Q36" i="60" s="1"/>
  <c r="S40" i="60"/>
  <c r="Q40" i="60" s="1"/>
  <c r="V41" i="60"/>
  <c r="T41" i="60" s="1"/>
  <c r="P119" i="60"/>
  <c r="S101" i="60"/>
  <c r="Q101" i="60" s="1"/>
  <c r="P41" i="60"/>
  <c r="S117" i="60"/>
  <c r="Q117" i="60" s="1"/>
  <c r="P95" i="60"/>
  <c r="P20" i="60"/>
  <c r="S34" i="60"/>
  <c r="Q34" i="60" s="1"/>
  <c r="S102" i="60"/>
  <c r="Q102" i="60" s="1"/>
  <c r="V96" i="60"/>
  <c r="T96" i="60" s="1"/>
  <c r="S58" i="60"/>
  <c r="Q58" i="60" s="1"/>
  <c r="S122" i="60"/>
  <c r="Q122" i="60" s="1"/>
  <c r="P50" i="60"/>
  <c r="S82" i="60"/>
  <c r="Q82" i="60" s="1"/>
  <c r="S66" i="60"/>
  <c r="Q66" i="60" s="1"/>
  <c r="S73" i="60"/>
  <c r="Q73" i="60" s="1"/>
  <c r="V101" i="60"/>
  <c r="T101" i="60" s="1"/>
  <c r="V35" i="60"/>
  <c r="T35" i="60" s="1"/>
  <c r="V68" i="60"/>
  <c r="V60" i="60"/>
  <c r="T60" i="60" s="1"/>
  <c r="V114" i="60"/>
  <c r="S48" i="60"/>
  <c r="Q48" i="60" s="1"/>
  <c r="P103" i="60"/>
  <c r="P39" i="60"/>
  <c r="M39" i="60" s="1"/>
  <c r="P26" i="60"/>
  <c r="S89" i="60"/>
  <c r="Q89" i="60" s="1"/>
  <c r="P68" i="60"/>
  <c r="P45" i="60"/>
  <c r="P74" i="60"/>
  <c r="V51" i="60"/>
  <c r="P93" i="60"/>
  <c r="P59" i="60"/>
  <c r="S44" i="60"/>
  <c r="Q44" i="60" s="1"/>
  <c r="V122" i="60"/>
  <c r="V66" i="60"/>
  <c r="V36" i="60"/>
  <c r="T36" i="60" s="1"/>
  <c r="P115" i="60"/>
  <c r="V92" i="60"/>
  <c r="T92" i="60" s="1"/>
  <c r="P70" i="60"/>
  <c r="P25" i="60"/>
  <c r="S74" i="60"/>
  <c r="Q74" i="60" s="1"/>
  <c r="S23" i="60"/>
  <c r="Q23" i="60" s="1"/>
  <c r="P98" i="60"/>
  <c r="P37" i="60"/>
  <c r="S70" i="60"/>
  <c r="Q70" i="60" s="1"/>
  <c r="V74" i="60"/>
  <c r="T74" i="60" s="1"/>
  <c r="S38" i="60"/>
  <c r="P48" i="60"/>
  <c r="P28" i="60"/>
  <c r="P75" i="60"/>
  <c r="S93" i="60"/>
  <c r="Q93" i="60" s="1"/>
  <c r="S50" i="60"/>
  <c r="Q50" i="60" s="1"/>
  <c r="S116" i="60"/>
  <c r="Q116" i="60" s="1"/>
  <c r="P34" i="60"/>
  <c r="P76" i="60"/>
  <c r="M76" i="60" s="1"/>
  <c r="K76" i="60" s="1"/>
  <c r="S46" i="60"/>
  <c r="Q46" i="60" s="1"/>
  <c r="V77" i="60"/>
  <c r="T77" i="60" s="1"/>
  <c r="V27" i="60"/>
  <c r="T27" i="60" s="1"/>
  <c r="S104" i="60"/>
  <c r="Q104" i="60" s="1"/>
  <c r="P52" i="60"/>
  <c r="P97" i="60"/>
  <c r="S85" i="60"/>
  <c r="Q85" i="60" s="1"/>
  <c r="V47" i="60"/>
  <c r="T47" i="60" s="1"/>
  <c r="S103" i="60"/>
  <c r="Q103" i="60" s="1"/>
  <c r="P104" i="60"/>
  <c r="S111" i="60"/>
  <c r="Q111" i="60" s="1"/>
  <c r="V98" i="60"/>
  <c r="T98" i="60" s="1"/>
  <c r="S51" i="60"/>
  <c r="Q51" i="60" s="1"/>
  <c r="V119" i="60"/>
  <c r="T119" i="60" s="1"/>
  <c r="H68" i="39"/>
  <c r="H20" i="34"/>
  <c r="H9" i="19"/>
  <c r="B65" i="58"/>
  <c r="Y319" i="5"/>
  <c r="AB319" i="5" s="1"/>
  <c r="Y320" i="5"/>
  <c r="AB320" i="5" s="1"/>
  <c r="Y318" i="5"/>
  <c r="AB318" i="5" s="1"/>
  <c r="E68" i="39"/>
  <c r="Y317" i="5"/>
  <c r="AB317" i="5" s="1"/>
  <c r="Y322" i="5"/>
  <c r="AB322" i="5" s="1"/>
  <c r="Y321" i="5"/>
  <c r="AB321" i="5" s="1"/>
  <c r="W250" i="5"/>
  <c r="W229" i="5"/>
  <c r="W56" i="5"/>
  <c r="B37" i="58"/>
  <c r="S3" i="5"/>
  <c r="E40" i="39"/>
  <c r="H4" i="12"/>
  <c r="E10" i="34"/>
  <c r="H40" i="39"/>
  <c r="W176" i="5"/>
  <c r="H11" i="1"/>
  <c r="Y265" i="5"/>
  <c r="AB265" i="5" s="1"/>
  <c r="Y266" i="5"/>
  <c r="AB266" i="5" s="1"/>
  <c r="Y268" i="5"/>
  <c r="AB268" i="5" s="1"/>
  <c r="H59" i="39"/>
  <c r="E59" i="39"/>
  <c r="Y269" i="5"/>
  <c r="AB269" i="5" s="1"/>
  <c r="E32" i="34"/>
  <c r="Y264" i="5"/>
  <c r="AB264" i="5" s="1"/>
  <c r="W264" i="5" s="1"/>
  <c r="B56" i="58"/>
  <c r="Y267" i="5"/>
  <c r="AB267" i="5" s="1"/>
  <c r="E15" i="34"/>
  <c r="E34" i="39"/>
  <c r="B31" i="58"/>
  <c r="H34" i="39"/>
  <c r="S4" i="5"/>
  <c r="H4" i="8"/>
  <c r="W108" i="5"/>
  <c r="O45" i="5"/>
  <c r="Y298" i="5"/>
  <c r="AB298" i="5" s="1"/>
  <c r="H7" i="19"/>
  <c r="Y302" i="5"/>
  <c r="AB302" i="5" s="1"/>
  <c r="Y299" i="5"/>
  <c r="AB299" i="5" s="1"/>
  <c r="Y300" i="5"/>
  <c r="AB300" i="5" s="1"/>
  <c r="B63" i="58"/>
  <c r="Y301" i="5"/>
  <c r="AB301" i="5" s="1"/>
  <c r="H18" i="34"/>
  <c r="E66" i="39"/>
  <c r="H66" i="39"/>
  <c r="Y303" i="5"/>
  <c r="AB303" i="5" s="1"/>
  <c r="G14" i="48"/>
  <c r="H14" i="48" s="1"/>
  <c r="I14" i="48" s="1"/>
  <c r="H19" i="39"/>
  <c r="B16" i="58"/>
  <c r="E19" i="39"/>
  <c r="W107" i="5"/>
  <c r="W80" i="5"/>
  <c r="W78" i="5"/>
  <c r="W218" i="5"/>
  <c r="W19" i="5"/>
  <c r="W148" i="5"/>
  <c r="Y343" i="5"/>
  <c r="AB343" i="5" s="1"/>
  <c r="Y339" i="5"/>
  <c r="AB339" i="5" s="1"/>
  <c r="B68" i="58"/>
  <c r="Y345" i="5"/>
  <c r="AB345" i="5" s="1"/>
  <c r="Y337" i="5"/>
  <c r="AB337" i="5" s="1"/>
  <c r="Y338" i="5"/>
  <c r="AB338" i="5" s="1"/>
  <c r="E71" i="39"/>
  <c r="Y344" i="5"/>
  <c r="AB344" i="5" s="1"/>
  <c r="E24" i="34"/>
  <c r="H8" i="21"/>
  <c r="Y346" i="5"/>
  <c r="AB346" i="5" s="1"/>
  <c r="Y341" i="5"/>
  <c r="AB341" i="5" s="1"/>
  <c r="Y336" i="5"/>
  <c r="AB336" i="5" s="1"/>
  <c r="Y340" i="5"/>
  <c r="AB340" i="5" s="1"/>
  <c r="Y342" i="5"/>
  <c r="AB342" i="5" s="1"/>
  <c r="H71" i="39"/>
  <c r="W55" i="5"/>
  <c r="W57" i="5"/>
  <c r="W131" i="5"/>
  <c r="W36" i="5"/>
  <c r="Y304" i="5"/>
  <c r="AB304" i="5" s="1"/>
  <c r="Y309" i="5"/>
  <c r="AB309" i="5" s="1"/>
  <c r="Y310" i="5"/>
  <c r="AB310" i="5" s="1"/>
  <c r="Y314" i="5"/>
  <c r="AB314" i="5" s="1"/>
  <c r="Y305" i="5"/>
  <c r="AB305" i="5" s="1"/>
  <c r="Y315" i="5"/>
  <c r="AB315" i="5" s="1"/>
  <c r="Y306" i="5"/>
  <c r="AB306" i="5" s="1"/>
  <c r="H8" i="19"/>
  <c r="H67" i="39"/>
  <c r="Y307" i="5"/>
  <c r="AB307" i="5" s="1"/>
  <c r="Y316" i="5"/>
  <c r="AB316" i="5" s="1"/>
  <c r="E67" i="39"/>
  <c r="Y312" i="5"/>
  <c r="AB312" i="5" s="1"/>
  <c r="Y313" i="5"/>
  <c r="AB313" i="5" s="1"/>
  <c r="H19" i="34"/>
  <c r="Y311" i="5"/>
  <c r="AB311" i="5" s="1"/>
  <c r="B64" i="58"/>
  <c r="Y308" i="5"/>
  <c r="AB308" i="5" s="1"/>
  <c r="W199" i="5"/>
  <c r="W263" i="5"/>
  <c r="W5" i="5"/>
  <c r="W3" i="5"/>
  <c r="W129" i="5"/>
  <c r="W181" i="5"/>
  <c r="W91" i="5"/>
  <c r="W246" i="5"/>
  <c r="W241" i="5"/>
  <c r="W33" i="5" l="1"/>
  <c r="W37" i="5"/>
  <c r="W269" i="5"/>
  <c r="M104" i="60"/>
  <c r="K104" i="60" s="1"/>
  <c r="W294" i="5"/>
  <c r="M117" i="49"/>
  <c r="K117" i="49" s="1"/>
  <c r="J110" i="50" s="1"/>
  <c r="W267" i="5"/>
  <c r="W266" i="5"/>
  <c r="W202" i="5"/>
  <c r="W301" i="5"/>
  <c r="W273" i="5"/>
  <c r="W312" i="5"/>
  <c r="W305" i="5"/>
  <c r="W265" i="5"/>
  <c r="M72" i="49"/>
  <c r="K72" i="49" s="1"/>
  <c r="J65" i="50" s="1"/>
  <c r="M58" i="49"/>
  <c r="K58" i="49" s="1"/>
  <c r="J51" i="50" s="1"/>
  <c r="W311" i="5"/>
  <c r="W297" i="5"/>
  <c r="W303" i="5"/>
  <c r="W274" i="5"/>
  <c r="W298" i="5"/>
  <c r="M48" i="60"/>
  <c r="K48" i="60" s="1"/>
  <c r="M71" i="60"/>
  <c r="W89" i="5"/>
  <c r="W100" i="5"/>
  <c r="W22" i="5"/>
  <c r="M98" i="49"/>
  <c r="K98" i="49" s="1"/>
  <c r="J91" i="50" s="1"/>
  <c r="M20" i="49"/>
  <c r="K20" i="49" s="1"/>
  <c r="J13" i="50" s="1"/>
  <c r="M85" i="49"/>
  <c r="K85" i="49" s="1"/>
  <c r="J78" i="50" s="1"/>
  <c r="M74" i="49"/>
  <c r="K74" i="49" s="1"/>
  <c r="J67" i="50" s="1"/>
  <c r="W268" i="5"/>
  <c r="W227" i="5"/>
  <c r="W102" i="5"/>
  <c r="M80" i="49"/>
  <c r="K80" i="49" s="1"/>
  <c r="J73" i="50" s="1"/>
  <c r="W141" i="5"/>
  <c r="W58" i="5"/>
  <c r="W314" i="5"/>
  <c r="W53" i="5"/>
  <c r="W196" i="5"/>
  <c r="W316" i="5"/>
  <c r="W310" i="5"/>
  <c r="W308" i="5"/>
  <c r="W251" i="5"/>
  <c r="M66" i="49"/>
  <c r="K66" i="49" s="1"/>
  <c r="J59" i="50" s="1"/>
  <c r="W160" i="5"/>
  <c r="W341" i="5"/>
  <c r="W345" i="5"/>
  <c r="W299" i="5"/>
  <c r="W318" i="5"/>
  <c r="N52" i="60"/>
  <c r="M52" i="60"/>
  <c r="K52" i="60" s="1"/>
  <c r="M37" i="60"/>
  <c r="K37" i="60" s="1"/>
  <c r="N37" i="60"/>
  <c r="N45" i="60"/>
  <c r="M45" i="60"/>
  <c r="K45" i="60" s="1"/>
  <c r="N41" i="60"/>
  <c r="M41" i="60"/>
  <c r="K41" i="60" s="1"/>
  <c r="M72" i="60"/>
  <c r="K72" i="60" s="1"/>
  <c r="N72" i="60"/>
  <c r="N27" i="60"/>
  <c r="M27" i="60"/>
  <c r="K27" i="60" s="1"/>
  <c r="N82" i="60"/>
  <c r="M82" i="60"/>
  <c r="K82" i="60" s="1"/>
  <c r="M22" i="60"/>
  <c r="K22" i="60" s="1"/>
  <c r="N22" i="60"/>
  <c r="N84" i="60"/>
  <c r="M84" i="60"/>
  <c r="K84" i="60" s="1"/>
  <c r="M112" i="60"/>
  <c r="K112" i="60" s="1"/>
  <c r="N112" i="60"/>
  <c r="N107" i="60"/>
  <c r="M107" i="60"/>
  <c r="K107" i="60" s="1"/>
  <c r="N21" i="60"/>
  <c r="M21" i="60"/>
  <c r="K21" i="60" s="1"/>
  <c r="N49" i="60"/>
  <c r="M49" i="60"/>
  <c r="K49" i="60" s="1"/>
  <c r="M67" i="60"/>
  <c r="K67" i="60" s="1"/>
  <c r="N67" i="60"/>
  <c r="M43" i="60"/>
  <c r="K43" i="60" s="1"/>
  <c r="W136" i="5"/>
  <c r="W328" i="5"/>
  <c r="W104" i="5"/>
  <c r="W347" i="5"/>
  <c r="W193" i="5"/>
  <c r="W214" i="5"/>
  <c r="W187" i="5"/>
  <c r="W182" i="5"/>
  <c r="W238" i="5"/>
  <c r="W234" i="5"/>
  <c r="W198" i="5"/>
  <c r="H4" i="14"/>
  <c r="B41" i="58"/>
  <c r="H44" i="39"/>
  <c r="E44" i="39"/>
  <c r="H37" i="34"/>
  <c r="S13" i="5"/>
  <c r="W133" i="5"/>
  <c r="W44" i="5"/>
  <c r="W147" i="5"/>
  <c r="W252" i="5"/>
  <c r="W295" i="5"/>
  <c r="W290" i="5"/>
  <c r="W365" i="5"/>
  <c r="W368" i="5"/>
  <c r="W60" i="5"/>
  <c r="W61" i="5"/>
  <c r="W86" i="5"/>
  <c r="W327" i="5"/>
  <c r="W154" i="5"/>
  <c r="W180" i="5"/>
  <c r="W26" i="5"/>
  <c r="W135" i="5"/>
  <c r="N89" i="49"/>
  <c r="L82" i="50" s="1"/>
  <c r="M89" i="49"/>
  <c r="K89" i="49" s="1"/>
  <c r="J82" i="50" s="1"/>
  <c r="M104" i="49"/>
  <c r="K104" i="49" s="1"/>
  <c r="J97" i="50" s="1"/>
  <c r="N104" i="49"/>
  <c r="L97" i="50" s="1"/>
  <c r="N59" i="49"/>
  <c r="L52" i="50" s="1"/>
  <c r="M59" i="49"/>
  <c r="K59" i="49" s="1"/>
  <c r="J52" i="50" s="1"/>
  <c r="M81" i="49"/>
  <c r="K81" i="49" s="1"/>
  <c r="J74" i="50" s="1"/>
  <c r="M113" i="49"/>
  <c r="K113" i="49" s="1"/>
  <c r="J106" i="50" s="1"/>
  <c r="N113" i="49"/>
  <c r="L106" i="50" s="1"/>
  <c r="M76" i="49"/>
  <c r="K76" i="49" s="1"/>
  <c r="J69" i="50" s="1"/>
  <c r="N21" i="49"/>
  <c r="L14" i="50" s="1"/>
  <c r="M21" i="49"/>
  <c r="K21" i="49" s="1"/>
  <c r="J14" i="50" s="1"/>
  <c r="W93" i="5"/>
  <c r="W170" i="5"/>
  <c r="W124" i="5"/>
  <c r="W117" i="5"/>
  <c r="W279" i="5"/>
  <c r="W330" i="5"/>
  <c r="W256" i="5"/>
  <c r="W359" i="5"/>
  <c r="W73" i="5"/>
  <c r="W346" i="5"/>
  <c r="W333" i="5"/>
  <c r="W320" i="5"/>
  <c r="M98" i="60"/>
  <c r="K98" i="60" s="1"/>
  <c r="N68" i="60"/>
  <c r="M68" i="60"/>
  <c r="K68" i="60" s="1"/>
  <c r="M118" i="60"/>
  <c r="K118" i="60" s="1"/>
  <c r="N118" i="60"/>
  <c r="M109" i="60"/>
  <c r="K109" i="60" s="1"/>
  <c r="N89" i="60"/>
  <c r="M89" i="60"/>
  <c r="K89" i="60" s="1"/>
  <c r="N33" i="60"/>
  <c r="M33" i="60"/>
  <c r="K33" i="60" s="1"/>
  <c r="N83" i="60"/>
  <c r="M83" i="60"/>
  <c r="K83" i="60" s="1"/>
  <c r="W51" i="5"/>
  <c r="W242" i="5"/>
  <c r="W127" i="5"/>
  <c r="W373" i="5"/>
  <c r="W134" i="5"/>
  <c r="W190" i="5"/>
  <c r="W194" i="5"/>
  <c r="W76" i="5"/>
  <c r="W183" i="5"/>
  <c r="W184" i="5"/>
  <c r="W99" i="5"/>
  <c r="W97" i="5"/>
  <c r="W165" i="5"/>
  <c r="W383" i="5"/>
  <c r="W47" i="5"/>
  <c r="W114" i="5"/>
  <c r="W257" i="5"/>
  <c r="W349" i="5"/>
  <c r="W288" i="5"/>
  <c r="W149" i="5"/>
  <c r="W371" i="5"/>
  <c r="W63" i="5"/>
  <c r="W66" i="5"/>
  <c r="W87" i="5"/>
  <c r="W82" i="5"/>
  <c r="W323" i="5"/>
  <c r="W155" i="5"/>
  <c r="W144" i="5"/>
  <c r="W25" i="5"/>
  <c r="W59" i="5"/>
  <c r="N26" i="49"/>
  <c r="L19" i="50" s="1"/>
  <c r="M26" i="49"/>
  <c r="K26" i="49" s="1"/>
  <c r="J19" i="50" s="1"/>
  <c r="N35" i="49"/>
  <c r="L28" i="50" s="1"/>
  <c r="M35" i="49"/>
  <c r="K35" i="49" s="1"/>
  <c r="J28" i="50" s="1"/>
  <c r="M79" i="49"/>
  <c r="K79" i="49" s="1"/>
  <c r="J72" i="50" s="1"/>
  <c r="N79" i="49"/>
  <c r="L72" i="50" s="1"/>
  <c r="M78" i="49"/>
  <c r="K78" i="49" s="1"/>
  <c r="J71" i="50" s="1"/>
  <c r="M34" i="49"/>
  <c r="K34" i="49" s="1"/>
  <c r="J27" i="50" s="1"/>
  <c r="N34" i="49"/>
  <c r="L27" i="50" s="1"/>
  <c r="M46" i="49"/>
  <c r="K46" i="49" s="1"/>
  <c r="J39" i="50" s="1"/>
  <c r="N46" i="49"/>
  <c r="L39" i="50" s="1"/>
  <c r="M94" i="49"/>
  <c r="K94" i="49" s="1"/>
  <c r="J87" i="50" s="1"/>
  <c r="N94" i="49"/>
  <c r="L87" i="50" s="1"/>
  <c r="N31" i="49"/>
  <c r="L24" i="50" s="1"/>
  <c r="M31" i="49"/>
  <c r="K31" i="49" s="1"/>
  <c r="J24" i="50" s="1"/>
  <c r="N77" i="49"/>
  <c r="L70" i="50" s="1"/>
  <c r="M77" i="49"/>
  <c r="K77" i="49" s="1"/>
  <c r="J70" i="50" s="1"/>
  <c r="M47" i="49"/>
  <c r="K47" i="49" s="1"/>
  <c r="J40" i="50" s="1"/>
  <c r="N47" i="49"/>
  <c r="L40" i="50" s="1"/>
  <c r="M83" i="49"/>
  <c r="K83" i="49" s="1"/>
  <c r="J76" i="50" s="1"/>
  <c r="N83" i="49"/>
  <c r="L76" i="50" s="1"/>
  <c r="N109" i="49"/>
  <c r="M109" i="49"/>
  <c r="K109" i="49" s="1"/>
  <c r="J102" i="50" s="1"/>
  <c r="N38" i="49"/>
  <c r="L31" i="50" s="1"/>
  <c r="M38" i="49"/>
  <c r="K38" i="49" s="1"/>
  <c r="J31" i="50" s="1"/>
  <c r="W293" i="5"/>
  <c r="W174" i="5"/>
  <c r="W348" i="5"/>
  <c r="W281" i="5"/>
  <c r="W271" i="5"/>
  <c r="W253" i="5"/>
  <c r="W255" i="5"/>
  <c r="W306" i="5"/>
  <c r="W302" i="5"/>
  <c r="W313" i="5"/>
  <c r="W315" i="5"/>
  <c r="W339" i="5"/>
  <c r="W325" i="5"/>
  <c r="W319" i="5"/>
  <c r="M75" i="60"/>
  <c r="K75" i="60" s="1"/>
  <c r="N75" i="60"/>
  <c r="M119" i="60"/>
  <c r="K119" i="60" s="1"/>
  <c r="N106" i="60"/>
  <c r="M106" i="60"/>
  <c r="K106" i="60" s="1"/>
  <c r="M121" i="60"/>
  <c r="N88" i="60"/>
  <c r="M88" i="60"/>
  <c r="K88" i="60" s="1"/>
  <c r="M101" i="60"/>
  <c r="K101" i="60" s="1"/>
  <c r="M58" i="60"/>
  <c r="K58" i="60" s="1"/>
  <c r="N58" i="60"/>
  <c r="N55" i="60"/>
  <c r="M55" i="60"/>
  <c r="K55" i="60" s="1"/>
  <c r="N16" i="60"/>
  <c r="M16" i="60"/>
  <c r="K16" i="60" s="1"/>
  <c r="N91" i="60"/>
  <c r="M91" i="60"/>
  <c r="K91" i="60" s="1"/>
  <c r="M66" i="60"/>
  <c r="K66" i="60" s="1"/>
  <c r="M46" i="60"/>
  <c r="K46" i="60" s="1"/>
  <c r="N46" i="60"/>
  <c r="M51" i="60"/>
  <c r="K51" i="60" s="1"/>
  <c r="W363" i="5"/>
  <c r="W240" i="5"/>
  <c r="W261" i="5"/>
  <c r="W378" i="5"/>
  <c r="W382" i="5"/>
  <c r="W189" i="5"/>
  <c r="W146" i="5"/>
  <c r="W324" i="5"/>
  <c r="W232" i="5"/>
  <c r="W98" i="5"/>
  <c r="W164" i="5"/>
  <c r="W381" i="5"/>
  <c r="W40" i="5"/>
  <c r="W112" i="5"/>
  <c r="W115" i="5"/>
  <c r="W350" i="5"/>
  <c r="W285" i="5"/>
  <c r="W230" i="5"/>
  <c r="W369" i="5"/>
  <c r="W69" i="5"/>
  <c r="W88" i="5"/>
  <c r="W270" i="5"/>
  <c r="W212" i="5"/>
  <c r="W29" i="5"/>
  <c r="W24" i="5"/>
  <c r="W52" i="5"/>
  <c r="N48" i="49"/>
  <c r="L41" i="50" s="1"/>
  <c r="M48" i="49"/>
  <c r="K48" i="49" s="1"/>
  <c r="J41" i="50" s="1"/>
  <c r="N87" i="49"/>
  <c r="L80" i="50" s="1"/>
  <c r="M87" i="49"/>
  <c r="K87" i="49" s="1"/>
  <c r="J80" i="50" s="1"/>
  <c r="N29" i="49"/>
  <c r="L22" i="50" s="1"/>
  <c r="M29" i="49"/>
  <c r="K29" i="49" s="1"/>
  <c r="J22" i="50" s="1"/>
  <c r="N96" i="49"/>
  <c r="L89" i="50" s="1"/>
  <c r="M96" i="49"/>
  <c r="K96" i="49" s="1"/>
  <c r="J89" i="50" s="1"/>
  <c r="N69" i="49"/>
  <c r="L62" i="50" s="1"/>
  <c r="M69" i="49"/>
  <c r="K69" i="49" s="1"/>
  <c r="J62" i="50" s="1"/>
  <c r="M23" i="49"/>
  <c r="K23" i="49" s="1"/>
  <c r="J16" i="50" s="1"/>
  <c r="N23" i="49"/>
  <c r="L16" i="50" s="1"/>
  <c r="N32" i="49"/>
  <c r="L25" i="50" s="1"/>
  <c r="M32" i="49"/>
  <c r="K32" i="49" s="1"/>
  <c r="J25" i="50" s="1"/>
  <c r="N90" i="49"/>
  <c r="L83" i="50" s="1"/>
  <c r="M90" i="49"/>
  <c r="K90" i="49" s="1"/>
  <c r="J83" i="50" s="1"/>
  <c r="M64" i="49"/>
  <c r="K64" i="49" s="1"/>
  <c r="J57" i="50" s="1"/>
  <c r="W169" i="5"/>
  <c r="W126" i="5"/>
  <c r="W121" i="5"/>
  <c r="W282" i="5"/>
  <c r="W34" i="5"/>
  <c r="S11" i="5"/>
  <c r="H4" i="20"/>
  <c r="H22" i="34"/>
  <c r="H73" i="39"/>
  <c r="B70" i="58"/>
  <c r="E73" i="39"/>
  <c r="W353" i="5"/>
  <c r="W343" i="5"/>
  <c r="M28" i="60"/>
  <c r="K28" i="60" s="1"/>
  <c r="N28" i="60"/>
  <c r="N26" i="60"/>
  <c r="M26" i="60"/>
  <c r="K26" i="60" s="1"/>
  <c r="N90" i="60"/>
  <c r="M90" i="60"/>
  <c r="K90" i="60" s="1"/>
  <c r="M17" i="60"/>
  <c r="K17" i="60" s="1"/>
  <c r="N17" i="60"/>
  <c r="N96" i="60"/>
  <c r="M96" i="60"/>
  <c r="K96" i="60" s="1"/>
  <c r="M123" i="60"/>
  <c r="K123" i="60" s="1"/>
  <c r="N19" i="60"/>
  <c r="M19" i="60"/>
  <c r="K19" i="60" s="1"/>
  <c r="N113" i="60"/>
  <c r="M113" i="60"/>
  <c r="K113" i="60" s="1"/>
  <c r="N40" i="60"/>
  <c r="M40" i="60"/>
  <c r="K40" i="60" s="1"/>
  <c r="M116" i="60"/>
  <c r="K116" i="60" s="1"/>
  <c r="N47" i="60"/>
  <c r="M47" i="60"/>
  <c r="K47" i="60" s="1"/>
  <c r="N80" i="60"/>
  <c r="M80" i="60"/>
  <c r="K80" i="60" s="1"/>
  <c r="W352" i="5"/>
  <c r="W374" i="5"/>
  <c r="W275" i="5"/>
  <c r="W351" i="5"/>
  <c r="W161" i="5"/>
  <c r="W111" i="5"/>
  <c r="W211" i="5"/>
  <c r="W289" i="5"/>
  <c r="W372" i="5"/>
  <c r="W72" i="5"/>
  <c r="W81" i="5"/>
  <c r="W156" i="5"/>
  <c r="W332" i="5"/>
  <c r="W248" i="5"/>
  <c r="W362" i="5"/>
  <c r="N17" i="49"/>
  <c r="L10" i="50" s="1"/>
  <c r="M17" i="49"/>
  <c r="K17" i="49" s="1"/>
  <c r="J10" i="50" s="1"/>
  <c r="M73" i="49"/>
  <c r="K73" i="49" s="1"/>
  <c r="J66" i="50" s="1"/>
  <c r="N73" i="49"/>
  <c r="L66" i="50" s="1"/>
  <c r="N108" i="49"/>
  <c r="L101" i="50" s="1"/>
  <c r="M108" i="49"/>
  <c r="K108" i="49" s="1"/>
  <c r="J101" i="50" s="1"/>
  <c r="N68" i="49"/>
  <c r="L61" i="50" s="1"/>
  <c r="M68" i="49"/>
  <c r="K68" i="49" s="1"/>
  <c r="J61" i="50" s="1"/>
  <c r="N55" i="49"/>
  <c r="L48" i="50" s="1"/>
  <c r="M55" i="49"/>
  <c r="K55" i="49" s="1"/>
  <c r="J48" i="50" s="1"/>
  <c r="N88" i="49"/>
  <c r="L81" i="50" s="1"/>
  <c r="M88" i="49"/>
  <c r="K88" i="49" s="1"/>
  <c r="J81" i="50" s="1"/>
  <c r="M30" i="49"/>
  <c r="K30" i="49" s="1"/>
  <c r="J23" i="50" s="1"/>
  <c r="N30" i="49"/>
  <c r="L23" i="50" s="1"/>
  <c r="M100" i="49"/>
  <c r="K100" i="49" s="1"/>
  <c r="J93" i="50" s="1"/>
  <c r="N100" i="49"/>
  <c r="L93" i="50" s="1"/>
  <c r="M97" i="49"/>
  <c r="K97" i="49" s="1"/>
  <c r="J90" i="50" s="1"/>
  <c r="N97" i="49"/>
  <c r="L90" i="50" s="1"/>
  <c r="M99" i="49"/>
  <c r="K99" i="49" s="1"/>
  <c r="J92" i="50" s="1"/>
  <c r="N99" i="49"/>
  <c r="L92" i="50" s="1"/>
  <c r="N86" i="49"/>
  <c r="L79" i="50" s="1"/>
  <c r="M86" i="49"/>
  <c r="K86" i="49" s="1"/>
  <c r="J79" i="50" s="1"/>
  <c r="N114" i="49"/>
  <c r="L107" i="50" s="1"/>
  <c r="M114" i="49"/>
  <c r="K114" i="49" s="1"/>
  <c r="J107" i="50" s="1"/>
  <c r="W110" i="5"/>
  <c r="W172" i="5"/>
  <c r="W119" i="5"/>
  <c r="W35" i="5"/>
  <c r="W280" i="5"/>
  <c r="W216" i="5"/>
  <c r="W344" i="5"/>
  <c r="W366" i="5"/>
  <c r="E65" i="39"/>
  <c r="H65" i="39"/>
  <c r="S10" i="5"/>
  <c r="B62" i="58"/>
  <c r="H17" i="34"/>
  <c r="H4" i="19"/>
  <c r="W321" i="5"/>
  <c r="N25" i="60"/>
  <c r="M25" i="60"/>
  <c r="K25" i="60" s="1"/>
  <c r="N59" i="60"/>
  <c r="M59" i="60"/>
  <c r="K59" i="60" s="1"/>
  <c r="N87" i="60"/>
  <c r="M87" i="60"/>
  <c r="K87" i="60" s="1"/>
  <c r="N44" i="60"/>
  <c r="M44" i="60"/>
  <c r="K44" i="60" s="1"/>
  <c r="N18" i="60"/>
  <c r="M18" i="60"/>
  <c r="K18" i="60" s="1"/>
  <c r="M54" i="60"/>
  <c r="K54" i="60" s="1"/>
  <c r="N54" i="60"/>
  <c r="N36" i="60"/>
  <c r="M36" i="60"/>
  <c r="K36" i="60" s="1"/>
  <c r="N86" i="60"/>
  <c r="M86" i="60"/>
  <c r="K86" i="60" s="1"/>
  <c r="M122" i="60"/>
  <c r="K122" i="60" s="1"/>
  <c r="N57" i="60"/>
  <c r="M57" i="60"/>
  <c r="K57" i="60" s="1"/>
  <c r="N64" i="60"/>
  <c r="M64" i="60"/>
  <c r="K64" i="60" s="1"/>
  <c r="N77" i="60"/>
  <c r="M77" i="60"/>
  <c r="K77" i="60" s="1"/>
  <c r="W260" i="5"/>
  <c r="W239" i="5"/>
  <c r="W208" i="5"/>
  <c r="W375" i="5"/>
  <c r="W188" i="5"/>
  <c r="W225" i="5"/>
  <c r="W179" i="5"/>
  <c r="W128" i="5"/>
  <c r="W236" i="5"/>
  <c r="W95" i="5"/>
  <c r="W48" i="5"/>
  <c r="W39" i="5"/>
  <c r="W209" i="5"/>
  <c r="W286" i="5"/>
  <c r="W138" i="5"/>
  <c r="W215" i="5"/>
  <c r="W62" i="5"/>
  <c r="W71" i="5"/>
  <c r="W85" i="5"/>
  <c r="W157" i="5"/>
  <c r="W153" i="5"/>
  <c r="W27" i="5"/>
  <c r="W243" i="5"/>
  <c r="W221" i="5"/>
  <c r="M62" i="49"/>
  <c r="K62" i="49" s="1"/>
  <c r="J55" i="50" s="1"/>
  <c r="M120" i="49"/>
  <c r="K120" i="49" s="1"/>
  <c r="J113" i="50" s="1"/>
  <c r="N61" i="49"/>
  <c r="L54" i="50" s="1"/>
  <c r="M61" i="49"/>
  <c r="K61" i="49" s="1"/>
  <c r="J54" i="50" s="1"/>
  <c r="M84" i="49"/>
  <c r="K84" i="49" s="1"/>
  <c r="J77" i="50" s="1"/>
  <c r="N22" i="49"/>
  <c r="L15" i="50" s="1"/>
  <c r="M22" i="49"/>
  <c r="K22" i="49" s="1"/>
  <c r="J15" i="50" s="1"/>
  <c r="M43" i="49"/>
  <c r="K43" i="49" s="1"/>
  <c r="J36" i="50" s="1"/>
  <c r="M71" i="49"/>
  <c r="K71" i="49" s="1"/>
  <c r="J64" i="50" s="1"/>
  <c r="N41" i="49"/>
  <c r="L34" i="50" s="1"/>
  <c r="M41" i="49"/>
  <c r="K41" i="49" s="1"/>
  <c r="J34" i="50" s="1"/>
  <c r="N25" i="49"/>
  <c r="L18" i="50" s="1"/>
  <c r="M25" i="49"/>
  <c r="K25" i="49" s="1"/>
  <c r="J18" i="50" s="1"/>
  <c r="N118" i="49"/>
  <c r="L111" i="50" s="1"/>
  <c r="M118" i="49"/>
  <c r="K118" i="49" s="1"/>
  <c r="J111" i="50" s="1"/>
  <c r="W228" i="5"/>
  <c r="W167" i="5"/>
  <c r="W166" i="5"/>
  <c r="W262" i="5"/>
  <c r="W116" i="5"/>
  <c r="W132" i="5"/>
  <c r="W284" i="5"/>
  <c r="W283" i="5"/>
  <c r="W217" i="5"/>
  <c r="W354" i="5"/>
  <c r="W355" i="5"/>
  <c r="W342" i="5"/>
  <c r="W322" i="5"/>
  <c r="M70" i="60"/>
  <c r="K70" i="60" s="1"/>
  <c r="N93" i="60"/>
  <c r="M93" i="60"/>
  <c r="K93" i="60" s="1"/>
  <c r="M103" i="60"/>
  <c r="K103" i="60" s="1"/>
  <c r="N103" i="60"/>
  <c r="N20" i="60"/>
  <c r="M20" i="60"/>
  <c r="K20" i="60" s="1"/>
  <c r="M105" i="60"/>
  <c r="K105" i="60" s="1"/>
  <c r="M42" i="60"/>
  <c r="K42" i="60" s="1"/>
  <c r="N42" i="60"/>
  <c r="M31" i="60"/>
  <c r="K31" i="60" s="1"/>
  <c r="N31" i="60"/>
  <c r="N61" i="60"/>
  <c r="M61" i="60"/>
  <c r="K61" i="60" s="1"/>
  <c r="N30" i="60"/>
  <c r="M30" i="60"/>
  <c r="K30" i="60" s="1"/>
  <c r="M62" i="60"/>
  <c r="K62" i="60" s="1"/>
  <c r="N79" i="60"/>
  <c r="M79" i="60"/>
  <c r="K79" i="60" s="1"/>
  <c r="N85" i="60"/>
  <c r="M85" i="60"/>
  <c r="K85" i="60" s="1"/>
  <c r="N35" i="60"/>
  <c r="M35" i="60"/>
  <c r="K35" i="60" s="1"/>
  <c r="N114" i="60"/>
  <c r="M114" i="60"/>
  <c r="K114" i="60" s="1"/>
  <c r="M53" i="60"/>
  <c r="K53" i="60" s="1"/>
  <c r="N53" i="60"/>
  <c r="M29" i="60"/>
  <c r="K29" i="60" s="1"/>
  <c r="M94" i="60"/>
  <c r="K94" i="60" s="1"/>
  <c r="N94" i="60"/>
  <c r="N100" i="60"/>
  <c r="M100" i="60"/>
  <c r="K100" i="60" s="1"/>
  <c r="M32" i="60"/>
  <c r="K32" i="60" s="1"/>
  <c r="N32" i="60"/>
  <c r="W259" i="5"/>
  <c r="W145" i="5"/>
  <c r="W201" i="5"/>
  <c r="W90" i="5"/>
  <c r="W376" i="5"/>
  <c r="W191" i="5"/>
  <c r="W258" i="5"/>
  <c r="W186" i="5"/>
  <c r="W96" i="5"/>
  <c r="W237" i="5"/>
  <c r="C8" i="38"/>
  <c r="D8" i="38" s="1"/>
  <c r="F8" i="38"/>
  <c r="G8" i="38" s="1"/>
  <c r="C9" i="38"/>
  <c r="D9" i="38" s="1"/>
  <c r="F9" i="38"/>
  <c r="G9" i="38" s="1"/>
  <c r="C10" i="38"/>
  <c r="D10" i="38" s="1"/>
  <c r="F11" i="38"/>
  <c r="G11" i="38" s="1"/>
  <c r="C11" i="38"/>
  <c r="D11" i="38" s="1"/>
  <c r="F10" i="38"/>
  <c r="G10" i="38" s="1"/>
  <c r="W163" i="5"/>
  <c r="W159" i="5"/>
  <c r="W42" i="5"/>
  <c r="W43" i="5"/>
  <c r="S12" i="5"/>
  <c r="H29" i="34"/>
  <c r="H27" i="39"/>
  <c r="H4" i="16"/>
  <c r="B24" i="58"/>
  <c r="E27" i="39"/>
  <c r="W213" i="5"/>
  <c r="W329" i="5"/>
  <c r="W206" i="5"/>
  <c r="W291" i="5"/>
  <c r="W379" i="5"/>
  <c r="W77" i="5"/>
  <c r="W177" i="5"/>
  <c r="W367" i="5"/>
  <c r="W65" i="5"/>
  <c r="W70" i="5"/>
  <c r="W139" i="5"/>
  <c r="W152" i="5"/>
  <c r="W151" i="5"/>
  <c r="W30" i="5"/>
  <c r="W292" i="5"/>
  <c r="W79" i="5"/>
  <c r="N95" i="49"/>
  <c r="L88" i="50" s="1"/>
  <c r="M95" i="49"/>
  <c r="K95" i="49" s="1"/>
  <c r="J88" i="50" s="1"/>
  <c r="M40" i="49"/>
  <c r="K40" i="49" s="1"/>
  <c r="J33" i="50" s="1"/>
  <c r="N75" i="49"/>
  <c r="L68" i="50" s="1"/>
  <c r="M75" i="49"/>
  <c r="K75" i="49" s="1"/>
  <c r="J68" i="50" s="1"/>
  <c r="M106" i="49"/>
  <c r="K106" i="49" s="1"/>
  <c r="J99" i="50" s="1"/>
  <c r="N106" i="49"/>
  <c r="L99" i="50" s="1"/>
  <c r="N50" i="49"/>
  <c r="L43" i="50" s="1"/>
  <c r="M50" i="49"/>
  <c r="K50" i="49" s="1"/>
  <c r="J43" i="50" s="1"/>
  <c r="N91" i="49"/>
  <c r="L84" i="50" s="1"/>
  <c r="M91" i="49"/>
  <c r="K91" i="49" s="1"/>
  <c r="J84" i="50" s="1"/>
  <c r="N24" i="49"/>
  <c r="L17" i="50" s="1"/>
  <c r="M24" i="49"/>
  <c r="K24" i="49" s="1"/>
  <c r="J17" i="50" s="1"/>
  <c r="M53" i="49"/>
  <c r="K53" i="49" s="1"/>
  <c r="J46" i="50" s="1"/>
  <c r="N53" i="49"/>
  <c r="L46" i="50" s="1"/>
  <c r="N111" i="49"/>
  <c r="L104" i="50" s="1"/>
  <c r="M111" i="49"/>
  <c r="K111" i="49" s="1"/>
  <c r="J104" i="50" s="1"/>
  <c r="M121" i="49"/>
  <c r="K121" i="49" s="1"/>
  <c r="J114" i="50" s="1"/>
  <c r="N56" i="49"/>
  <c r="L49" i="50" s="1"/>
  <c r="M56" i="49"/>
  <c r="K56" i="49" s="1"/>
  <c r="J49" i="50" s="1"/>
  <c r="N112" i="49"/>
  <c r="L105" i="50" s="1"/>
  <c r="M112" i="49"/>
  <c r="K112" i="49" s="1"/>
  <c r="J105" i="50" s="1"/>
  <c r="M65" i="49"/>
  <c r="K65" i="49" s="1"/>
  <c r="J58" i="50" s="1"/>
  <c r="N65" i="49"/>
  <c r="L58" i="50" s="1"/>
  <c r="W109" i="5"/>
  <c r="W173" i="5"/>
  <c r="W175" i="5"/>
  <c r="W122" i="5"/>
  <c r="W123" i="5"/>
  <c r="W380" i="5"/>
  <c r="W277" i="5"/>
  <c r="W360" i="5"/>
  <c r="W219" i="5"/>
  <c r="W358" i="5"/>
  <c r="W307" i="5"/>
  <c r="W309" i="5"/>
  <c r="W340" i="5"/>
  <c r="W338" i="5"/>
  <c r="W317" i="5"/>
  <c r="M34" i="60"/>
  <c r="K34" i="60" s="1"/>
  <c r="N95" i="60"/>
  <c r="M95" i="60"/>
  <c r="K95" i="60" s="1"/>
  <c r="M73" i="60"/>
  <c r="K73" i="60" s="1"/>
  <c r="N73" i="60"/>
  <c r="N111" i="60"/>
  <c r="M111" i="60"/>
  <c r="K111" i="60" s="1"/>
  <c r="N81" i="60"/>
  <c r="M81" i="60"/>
  <c r="K81" i="60" s="1"/>
  <c r="N92" i="60"/>
  <c r="M92" i="60"/>
  <c r="K92" i="60" s="1"/>
  <c r="M65" i="60"/>
  <c r="K65" i="60" s="1"/>
  <c r="N65" i="60"/>
  <c r="M60" i="60"/>
  <c r="K60" i="60" s="1"/>
  <c r="N60" i="60"/>
  <c r="M63" i="60"/>
  <c r="K63" i="60" s="1"/>
  <c r="W204" i="5"/>
  <c r="W210" i="5"/>
  <c r="W223" i="5"/>
  <c r="W197" i="5"/>
  <c r="W94" i="5"/>
  <c r="W377" i="5"/>
  <c r="W192" i="5"/>
  <c r="W224" i="5"/>
  <c r="W247" i="5"/>
  <c r="W185" i="5"/>
  <c r="W231" i="5"/>
  <c r="W233" i="5"/>
  <c r="H22" i="39"/>
  <c r="H4" i="10"/>
  <c r="B19" i="58"/>
  <c r="S7" i="5"/>
  <c r="E34" i="34"/>
  <c r="E22" i="39"/>
  <c r="W162" i="5"/>
  <c r="W45" i="5"/>
  <c r="W361" i="5"/>
  <c r="W113" i="5"/>
  <c r="W74" i="5"/>
  <c r="W103" i="5"/>
  <c r="W245" i="5"/>
  <c r="W207" i="5"/>
  <c r="W287" i="5"/>
  <c r="W50" i="5"/>
  <c r="W331" i="5"/>
  <c r="W254" i="5"/>
  <c r="W68" i="5"/>
  <c r="W137" i="5"/>
  <c r="W83" i="5"/>
  <c r="W226" i="5"/>
  <c r="W150" i="5"/>
  <c r="W130" i="5"/>
  <c r="W334" i="5"/>
  <c r="M123" i="49"/>
  <c r="K123" i="49" s="1"/>
  <c r="J116" i="50" s="1"/>
  <c r="N54" i="49"/>
  <c r="L47" i="50" s="1"/>
  <c r="M54" i="49"/>
  <c r="K54" i="49" s="1"/>
  <c r="J47" i="50" s="1"/>
  <c r="M102" i="49"/>
  <c r="K102" i="49" s="1"/>
  <c r="J95" i="50" s="1"/>
  <c r="N102" i="49"/>
  <c r="L95" i="50" s="1"/>
  <c r="N103" i="49"/>
  <c r="L96" i="50" s="1"/>
  <c r="M103" i="49"/>
  <c r="K103" i="49" s="1"/>
  <c r="J96" i="50" s="1"/>
  <c r="M28" i="49"/>
  <c r="K28" i="49" s="1"/>
  <c r="J21" i="50" s="1"/>
  <c r="N28" i="49"/>
  <c r="L21" i="50" s="1"/>
  <c r="M70" i="49"/>
  <c r="K70" i="49" s="1"/>
  <c r="J63" i="50" s="1"/>
  <c r="N16" i="49"/>
  <c r="L9" i="50" s="1"/>
  <c r="M16" i="49"/>
  <c r="K16" i="49" s="1"/>
  <c r="J9" i="50" s="1"/>
  <c r="N93" i="49"/>
  <c r="L86" i="50" s="1"/>
  <c r="M93" i="49"/>
  <c r="K93" i="49" s="1"/>
  <c r="J86" i="50" s="1"/>
  <c r="N115" i="49"/>
  <c r="L108" i="50" s="1"/>
  <c r="M115" i="49"/>
  <c r="K115" i="49" s="1"/>
  <c r="J108" i="50" s="1"/>
  <c r="N52" i="49"/>
  <c r="L45" i="50" s="1"/>
  <c r="M52" i="49"/>
  <c r="K52" i="49" s="1"/>
  <c r="J45" i="50" s="1"/>
  <c r="N49" i="49"/>
  <c r="L42" i="50" s="1"/>
  <c r="M49" i="49"/>
  <c r="K49" i="49" s="1"/>
  <c r="J42" i="50" s="1"/>
  <c r="W249" i="5"/>
  <c r="W171" i="5"/>
  <c r="W118" i="5"/>
  <c r="W54" i="5"/>
  <c r="W140" i="5"/>
  <c r="W335" i="5"/>
  <c r="W105" i="5"/>
  <c r="W357" i="5"/>
  <c r="W356" i="5"/>
  <c r="W304" i="5"/>
  <c r="W336" i="5"/>
  <c r="W337" i="5"/>
  <c r="W300" i="5"/>
  <c r="M97" i="60"/>
  <c r="K97" i="60" s="1"/>
  <c r="N97" i="60"/>
  <c r="N115" i="60"/>
  <c r="M115" i="60"/>
  <c r="K115" i="60" s="1"/>
  <c r="M74" i="60"/>
  <c r="K74" i="60" s="1"/>
  <c r="M50" i="60"/>
  <c r="K50" i="60" s="1"/>
  <c r="N23" i="60"/>
  <c r="M23" i="60"/>
  <c r="K23" i="60" s="1"/>
  <c r="N56" i="60"/>
  <c r="M56" i="60"/>
  <c r="K56" i="60" s="1"/>
  <c r="M78" i="60"/>
  <c r="K78" i="60" s="1"/>
  <c r="N78" i="60"/>
  <c r="M117" i="60"/>
  <c r="K117" i="60" s="1"/>
  <c r="M24" i="60"/>
  <c r="K24" i="60" s="1"/>
  <c r="N108" i="60"/>
  <c r="M108" i="60"/>
  <c r="K108" i="60" s="1"/>
  <c r="M38" i="60"/>
  <c r="K38" i="60" s="1"/>
  <c r="M110" i="60"/>
  <c r="K110" i="60" s="1"/>
  <c r="M69" i="60"/>
  <c r="K69" i="60" s="1"/>
  <c r="N102" i="60"/>
  <c r="M102" i="60"/>
  <c r="K102" i="60" s="1"/>
  <c r="W75" i="5"/>
  <c r="W272" i="5"/>
  <c r="W296" i="5"/>
  <c r="W195" i="5"/>
  <c r="W220" i="5"/>
  <c r="B45" i="58"/>
  <c r="H10" i="34"/>
  <c r="S9" i="5"/>
  <c r="H4" i="18"/>
  <c r="H48" i="39"/>
  <c r="E48" i="39"/>
  <c r="W235" i="5"/>
  <c r="W101" i="5"/>
  <c r="W205" i="5"/>
  <c r="W158" i="5"/>
  <c r="W32" i="5"/>
  <c r="W38" i="5"/>
  <c r="W46" i="5"/>
  <c r="W143" i="5"/>
  <c r="W106" i="5"/>
  <c r="W92" i="5"/>
  <c r="W203" i="5"/>
  <c r="W49" i="5"/>
  <c r="W125" i="5"/>
  <c r="W370" i="5"/>
  <c r="W64" i="5"/>
  <c r="W67" i="5"/>
  <c r="W384" i="5"/>
  <c r="W84" i="5"/>
  <c r="W222" i="5"/>
  <c r="W28" i="5"/>
  <c r="W200" i="5"/>
  <c r="M107" i="49"/>
  <c r="K107" i="49" s="1"/>
  <c r="J100" i="50" s="1"/>
  <c r="N107" i="49"/>
  <c r="L100" i="50" s="1"/>
  <c r="N92" i="49"/>
  <c r="L85" i="50" s="1"/>
  <c r="M92" i="49"/>
  <c r="K92" i="49" s="1"/>
  <c r="J85" i="50" s="1"/>
  <c r="M116" i="49"/>
  <c r="K116" i="49" s="1"/>
  <c r="J109" i="50" s="1"/>
  <c r="N82" i="49"/>
  <c r="L75" i="50" s="1"/>
  <c r="M82" i="49"/>
  <c r="K82" i="49" s="1"/>
  <c r="J75" i="50" s="1"/>
  <c r="M57" i="49"/>
  <c r="K57" i="49" s="1"/>
  <c r="J50" i="50" s="1"/>
  <c r="N57" i="49"/>
  <c r="L50" i="50" s="1"/>
  <c r="M51" i="49"/>
  <c r="K51" i="49" s="1"/>
  <c r="J44" i="50" s="1"/>
  <c r="N51" i="49"/>
  <c r="L44" i="50" s="1"/>
  <c r="M19" i="49"/>
  <c r="K19" i="49" s="1"/>
  <c r="J12" i="50" s="1"/>
  <c r="N19" i="49"/>
  <c r="L12" i="50" s="1"/>
  <c r="M110" i="49"/>
  <c r="K110" i="49" s="1"/>
  <c r="J103" i="50" s="1"/>
  <c r="N39" i="49"/>
  <c r="L32" i="50" s="1"/>
  <c r="M39" i="49"/>
  <c r="K39" i="49" s="1"/>
  <c r="J32" i="50" s="1"/>
  <c r="M18" i="49"/>
  <c r="K18" i="49" s="1"/>
  <c r="J11" i="50" s="1"/>
  <c r="N67" i="49"/>
  <c r="L60" i="50" s="1"/>
  <c r="M67" i="49"/>
  <c r="K67" i="49" s="1"/>
  <c r="J60" i="50" s="1"/>
  <c r="M60" i="49"/>
  <c r="K60" i="49" s="1"/>
  <c r="J53" i="50" s="1"/>
  <c r="N60" i="49"/>
  <c r="L53" i="50" s="1"/>
  <c r="M122" i="49"/>
  <c r="K122" i="49" s="1"/>
  <c r="J115" i="50" s="1"/>
  <c r="M36" i="49"/>
  <c r="K36" i="49" s="1"/>
  <c r="J29" i="50" s="1"/>
  <c r="N36" i="49"/>
  <c r="L29" i="50" s="1"/>
  <c r="M33" i="49"/>
  <c r="K33" i="49" s="1"/>
  <c r="J26" i="50" s="1"/>
  <c r="N33" i="49"/>
  <c r="L26" i="50" s="1"/>
  <c r="N105" i="49"/>
  <c r="L98" i="50" s="1"/>
  <c r="M105" i="49"/>
  <c r="K105" i="49" s="1"/>
  <c r="J98" i="50" s="1"/>
  <c r="N45" i="49"/>
  <c r="L38" i="50" s="1"/>
  <c r="M45" i="49"/>
  <c r="K45" i="49" s="1"/>
  <c r="J38" i="50" s="1"/>
  <c r="N37" i="49"/>
  <c r="L30" i="50" s="1"/>
  <c r="M37" i="49"/>
  <c r="K37" i="49" s="1"/>
  <c r="J30" i="50" s="1"/>
  <c r="W244" i="5"/>
  <c r="W168" i="5"/>
  <c r="W120" i="5"/>
  <c r="W278" i="5"/>
  <c r="W276" i="5"/>
  <c r="W142" i="5"/>
  <c r="W326" i="5"/>
  <c r="W178" i="5"/>
  <c r="W364" i="5"/>
  <c r="C26" i="38" l="1"/>
  <c r="D26" i="38" s="1"/>
  <c r="F16" i="38"/>
  <c r="G16" i="38" s="1"/>
  <c r="C22" i="38"/>
  <c r="D22" i="38" s="1"/>
  <c r="F30" i="38"/>
  <c r="G30" i="38" s="1"/>
  <c r="C18" i="38"/>
  <c r="D18" i="38" s="1"/>
  <c r="F17" i="38"/>
  <c r="G17" i="38" s="1"/>
  <c r="C24" i="38"/>
  <c r="D24" i="38" s="1"/>
  <c r="C36" i="38"/>
  <c r="D36" i="38" s="1"/>
  <c r="C13" i="38"/>
  <c r="D13" i="38" s="1"/>
  <c r="F23" i="38"/>
  <c r="G23" i="38" s="1"/>
  <c r="F25" i="38"/>
  <c r="G25" i="38" s="1"/>
  <c r="C31" i="38"/>
  <c r="D31" i="38" s="1"/>
  <c r="C37" i="38"/>
  <c r="D37" i="38" s="1"/>
  <c r="F34" i="38"/>
  <c r="G34" i="38" s="1"/>
  <c r="F31" i="38"/>
  <c r="G31" i="38" s="1"/>
  <c r="F19" i="38"/>
  <c r="G19" i="38" s="1"/>
  <c r="F13" i="38"/>
  <c r="G13" i="38" s="1"/>
  <c r="F14" i="38"/>
  <c r="G14" i="38" s="1"/>
  <c r="F24" i="38"/>
  <c r="G24" i="38" s="1"/>
  <c r="C29" i="38"/>
  <c r="D29" i="38" s="1"/>
  <c r="F39" i="38"/>
  <c r="G39" i="38" s="1"/>
  <c r="C15" i="38"/>
  <c r="D15" i="38" s="1"/>
  <c r="F20" i="38"/>
  <c r="G20" i="38" s="1"/>
  <c r="F32" i="38"/>
  <c r="G32" i="38" s="1"/>
  <c r="F22" i="38"/>
  <c r="G22" i="38" s="1"/>
  <c r="C38" i="38"/>
  <c r="D38" i="38" s="1"/>
  <c r="C20" i="38"/>
  <c r="D20" i="38" s="1"/>
  <c r="C34" i="38"/>
  <c r="D34" i="38" s="1"/>
  <c r="F27" i="38"/>
  <c r="G27" i="38" s="1"/>
  <c r="F15" i="38"/>
  <c r="G15" i="38" s="1"/>
  <c r="F28" i="38"/>
  <c r="G28" i="38" s="1"/>
  <c r="F29" i="38"/>
  <c r="G29" i="38" s="1"/>
  <c r="C35" i="38"/>
  <c r="D35" i="38" s="1"/>
  <c r="F21" i="38"/>
  <c r="G21" i="38" s="1"/>
  <c r="F18" i="38"/>
  <c r="G18" i="38" s="1"/>
  <c r="C28" i="38"/>
  <c r="D28" i="38" s="1"/>
  <c r="C27" i="38"/>
  <c r="D27" i="38" s="1"/>
  <c r="C17" i="38"/>
  <c r="D17" i="38" s="1"/>
  <c r="F37" i="38"/>
  <c r="G37" i="38" s="1"/>
  <c r="C21" i="38"/>
  <c r="D21" i="38" s="1"/>
  <c r="C12" i="38"/>
  <c r="D12" i="38" s="1"/>
  <c r="C25" i="38"/>
  <c r="D25" i="38" s="1"/>
  <c r="C33" i="38"/>
  <c r="D33" i="38" s="1"/>
  <c r="F12" i="38"/>
  <c r="G12" i="38" s="1"/>
  <c r="C32" i="38"/>
  <c r="D32" i="38" s="1"/>
  <c r="C39" i="38"/>
  <c r="D39" i="38" s="1"/>
  <c r="C16" i="38"/>
  <c r="D16" i="38" s="1"/>
  <c r="C30" i="38"/>
  <c r="D30" i="38" s="1"/>
  <c r="C19" i="38"/>
  <c r="D19" i="38" s="1"/>
  <c r="C23" i="38"/>
  <c r="D23" i="38" s="1"/>
  <c r="F33" i="38"/>
  <c r="G33" i="38" s="1"/>
  <c r="C14" i="38"/>
  <c r="D14" i="38" s="1"/>
  <c r="F36" i="38"/>
  <c r="G36" i="38" s="1"/>
  <c r="F26" i="38"/>
  <c r="G26" i="38" s="1"/>
  <c r="F35" i="38"/>
  <c r="G35" i="38" s="1"/>
  <c r="F38" i="38"/>
  <c r="G38" i="38" s="1"/>
</calcChain>
</file>

<file path=xl/sharedStrings.xml><?xml version="1.0" encoding="utf-8"?>
<sst xmlns="http://schemas.openxmlformats.org/spreadsheetml/2006/main" count="14438" uniqueCount="3503">
  <si>
    <t>RISK</t>
  </si>
  <si>
    <t>●</t>
  </si>
  <si>
    <t>Taso</t>
  </si>
  <si>
    <t>Käytäntö</t>
  </si>
  <si>
    <t>Vastaus</t>
  </si>
  <si>
    <t>1a</t>
  </si>
  <si>
    <t>4 - Täysin toteutettu</t>
  </si>
  <si>
    <t>1b</t>
  </si>
  <si>
    <t>1c</t>
  </si>
  <si>
    <t>1d</t>
  </si>
  <si>
    <t>1e</t>
  </si>
  <si>
    <t>1f</t>
  </si>
  <si>
    <t>1g</t>
  </si>
  <si>
    <t>1h</t>
  </si>
  <si>
    <t>1i</t>
  </si>
  <si>
    <t>1j</t>
  </si>
  <si>
    <t xml:space="preserve"> </t>
  </si>
  <si>
    <t>2a</t>
  </si>
  <si>
    <t>2b</t>
  </si>
  <si>
    <t>2c</t>
  </si>
  <si>
    <t>2d</t>
  </si>
  <si>
    <t>2e</t>
  </si>
  <si>
    <t>3a</t>
  </si>
  <si>
    <t>3b</t>
  </si>
  <si>
    <t>3c</t>
  </si>
  <si>
    <t>3d</t>
  </si>
  <si>
    <t>3e</t>
  </si>
  <si>
    <t>3f</t>
  </si>
  <si>
    <t>3g</t>
  </si>
  <si>
    <t>Domain</t>
  </si>
  <si>
    <t>DomainSub</t>
  </si>
  <si>
    <t>Practice</t>
  </si>
  <si>
    <t>PracticeShort</t>
  </si>
  <si>
    <t>PracticeMIL</t>
  </si>
  <si>
    <t>AnswerLevel</t>
  </si>
  <si>
    <t>AnswerBool</t>
  </si>
  <si>
    <t>H_taso</t>
  </si>
  <si>
    <t>H_käytäntöjä</t>
  </si>
  <si>
    <t>V2.0</t>
  </si>
  <si>
    <t>FINAL</t>
  </si>
  <si>
    <t>RISK-1</t>
  </si>
  <si>
    <t>RISK-1a</t>
  </si>
  <si>
    <t>RISK-1b</t>
  </si>
  <si>
    <t>RISK-1c</t>
  </si>
  <si>
    <t>RISK-2</t>
  </si>
  <si>
    <t>RISK-1d</t>
  </si>
  <si>
    <t>RISK-3</t>
  </si>
  <si>
    <t>RISK-1e</t>
  </si>
  <si>
    <t>ASSET</t>
  </si>
  <si>
    <t>RISK-1f</t>
  </si>
  <si>
    <t>ASSET-1</t>
  </si>
  <si>
    <t>RISK-1g</t>
  </si>
  <si>
    <t>ASSET-2</t>
  </si>
  <si>
    <t>RISK-1h</t>
  </si>
  <si>
    <t>ASSET-3</t>
  </si>
  <si>
    <t>ASSET-4</t>
  </si>
  <si>
    <t>CRITICAL</t>
  </si>
  <si>
    <t>ASSET-5</t>
  </si>
  <si>
    <t>RISK-2a</t>
  </si>
  <si>
    <t>ACCESS</t>
  </si>
  <si>
    <t>RISK-2b</t>
  </si>
  <si>
    <t>ACCESS-1</t>
  </si>
  <si>
    <t>RISK-2c</t>
  </si>
  <si>
    <t>ACCESS-2</t>
  </si>
  <si>
    <t>THREAT</t>
  </si>
  <si>
    <t>RISK-2d</t>
  </si>
  <si>
    <t>ACCESS-3</t>
  </si>
  <si>
    <t>SITUATION</t>
  </si>
  <si>
    <t>RISK-2e</t>
  </si>
  <si>
    <t>RESPONSE</t>
  </si>
  <si>
    <t>RISK-3a</t>
  </si>
  <si>
    <t>THREAT-1</t>
  </si>
  <si>
    <t>RISK-3b</t>
  </si>
  <si>
    <t>THREAT-2</t>
  </si>
  <si>
    <t>WORKFORCE</t>
  </si>
  <si>
    <t>RISK-3c</t>
  </si>
  <si>
    <t>THREAT-3</t>
  </si>
  <si>
    <t>ARCHITECTURE</t>
  </si>
  <si>
    <t>RISK-3d</t>
  </si>
  <si>
    <t>PROGRAM</t>
  </si>
  <si>
    <t>RISK-3e</t>
  </si>
  <si>
    <t>SITUATION-1</t>
  </si>
  <si>
    <t>RISK-3f</t>
  </si>
  <si>
    <t>SITUATION-2</t>
  </si>
  <si>
    <t>RISK-3g</t>
  </si>
  <si>
    <t>SITUATION-3</t>
  </si>
  <si>
    <t>ASSET-1a</t>
  </si>
  <si>
    <t>SITUATION-4</t>
  </si>
  <si>
    <t>ASSET-1b</t>
  </si>
  <si>
    <t>ASSET-1c</t>
  </si>
  <si>
    <t>RESPONSE-1</t>
  </si>
  <si>
    <t>ASSET-1d</t>
  </si>
  <si>
    <t>RESPONSE-2</t>
  </si>
  <si>
    <t>ASSET-1e</t>
  </si>
  <si>
    <t>RESPONSE-3</t>
  </si>
  <si>
    <t>ASSET-1f</t>
  </si>
  <si>
    <t>RESPONSE-4</t>
  </si>
  <si>
    <t>ASSET-2a</t>
  </si>
  <si>
    <t>ASSET-2b</t>
  </si>
  <si>
    <t>ASSET-2c</t>
  </si>
  <si>
    <t>ASSET-2d</t>
  </si>
  <si>
    <t>ASSET-2e</t>
  </si>
  <si>
    <t>ASSET-2f</t>
  </si>
  <si>
    <t>2f</t>
  </si>
  <si>
    <t>WORKFORCE-1</t>
  </si>
  <si>
    <t>ASSET-3a</t>
  </si>
  <si>
    <t>WORKFORCE-2</t>
  </si>
  <si>
    <t>ASSET-3b</t>
  </si>
  <si>
    <t>WORKFORCE-3</t>
  </si>
  <si>
    <t>ASSET-3c</t>
  </si>
  <si>
    <t>WORKFORCE-4</t>
  </si>
  <si>
    <t>ASSET-3d</t>
  </si>
  <si>
    <t>WORKFORCE-5</t>
  </si>
  <si>
    <t>ASSET-3e</t>
  </si>
  <si>
    <t>ASSET-3f</t>
  </si>
  <si>
    <t>ARCHITECTURE-1</t>
  </si>
  <si>
    <t>ASSET-4a</t>
  </si>
  <si>
    <t>4a</t>
  </si>
  <si>
    <t>ARCHITECTURE-2</t>
  </si>
  <si>
    <t>ASSET-4b</t>
  </si>
  <si>
    <t>4b</t>
  </si>
  <si>
    <t>ARCHITECTURE-3</t>
  </si>
  <si>
    <t>ASSET-4c</t>
  </si>
  <si>
    <t>4c</t>
  </si>
  <si>
    <t>ARCHITECTURE-4</t>
  </si>
  <si>
    <t>ASSET-4d</t>
  </si>
  <si>
    <t>4d</t>
  </si>
  <si>
    <t>ARCHITECTURE-5</t>
  </si>
  <si>
    <t>ASSET-4e</t>
  </si>
  <si>
    <t>4e</t>
  </si>
  <si>
    <t>ASSET-4f</t>
  </si>
  <si>
    <t>4f</t>
  </si>
  <si>
    <t>PROGRAM-1</t>
  </si>
  <si>
    <t>ASSET-5a</t>
  </si>
  <si>
    <t>5a</t>
  </si>
  <si>
    <t>PROGRAM-2</t>
  </si>
  <si>
    <t>ASSET-5b</t>
  </si>
  <si>
    <t>5b</t>
  </si>
  <si>
    <t>PROGRAM-3</t>
  </si>
  <si>
    <t>ASSET-5c</t>
  </si>
  <si>
    <t>5c</t>
  </si>
  <si>
    <t>ASSET-5d</t>
  </si>
  <si>
    <t>5d</t>
  </si>
  <si>
    <t>ASSET-5e</t>
  </si>
  <si>
    <t>5e</t>
  </si>
  <si>
    <t>ASSET-5f</t>
  </si>
  <si>
    <t>5f</t>
  </si>
  <si>
    <t>CRITICAL-1</t>
  </si>
  <si>
    <t>5g</t>
  </si>
  <si>
    <t>CRITICAL-2</t>
  </si>
  <si>
    <t>ACCESS-1a</t>
  </si>
  <si>
    <t>CRITICAL-3</t>
  </si>
  <si>
    <t>ACCESS-1b</t>
  </si>
  <si>
    <t>ACCESS-1c</t>
  </si>
  <si>
    <t>ACCESS-1d</t>
  </si>
  <si>
    <t>ACCESS-1e</t>
  </si>
  <si>
    <t>ACCESS-1f</t>
  </si>
  <si>
    <t>ACCESS-1g</t>
  </si>
  <si>
    <t>ACCESS-2a</t>
  </si>
  <si>
    <t>ACCESS-2b</t>
  </si>
  <si>
    <t>ACCESS-2c</t>
  </si>
  <si>
    <t>ACCESS-2d</t>
  </si>
  <si>
    <t>ACCESS-2e</t>
  </si>
  <si>
    <t>ACCESS-2f</t>
  </si>
  <si>
    <t>ACCESS-2g</t>
  </si>
  <si>
    <t>2g</t>
  </si>
  <si>
    <t>ACCESS-2h</t>
  </si>
  <si>
    <t>2h</t>
  </si>
  <si>
    <t>ACCESS-3a</t>
  </si>
  <si>
    <t>ACCESS-3b</t>
  </si>
  <si>
    <t>ACCESS-3c</t>
  </si>
  <si>
    <t>ACCESS-3d</t>
  </si>
  <si>
    <t>ACCESS-3e</t>
  </si>
  <si>
    <t>ACCESS-3f</t>
  </si>
  <si>
    <t>ACCESS-3g</t>
  </si>
  <si>
    <t>THREAT-1a</t>
  </si>
  <si>
    <t>THREAT-1b</t>
  </si>
  <si>
    <t>THREAT-1c</t>
  </si>
  <si>
    <t>THREAT-1d</t>
  </si>
  <si>
    <t>THREAT-1e</t>
  </si>
  <si>
    <t>THREAT-1f</t>
  </si>
  <si>
    <t>THREAT-1g</t>
  </si>
  <si>
    <t>THREAT-1h</t>
  </si>
  <si>
    <t>THREAT-1i</t>
  </si>
  <si>
    <t>THREAT-1j</t>
  </si>
  <si>
    <t>THREAT-1k</t>
  </si>
  <si>
    <t>1k</t>
  </si>
  <si>
    <t>THREAT-1l</t>
  </si>
  <si>
    <t>1l</t>
  </si>
  <si>
    <t>THREAT-2a</t>
  </si>
  <si>
    <t>THREAT-2b</t>
  </si>
  <si>
    <t>THREAT-2c</t>
  </si>
  <si>
    <t>THREAT-2d</t>
  </si>
  <si>
    <t>THREAT-2e</t>
  </si>
  <si>
    <t>THREAT-2f</t>
  </si>
  <si>
    <t>THREAT-2g</t>
  </si>
  <si>
    <t>THREAT-2h</t>
  </si>
  <si>
    <t>THREAT-2i</t>
  </si>
  <si>
    <t>2i</t>
  </si>
  <si>
    <t>THREAT-2j</t>
  </si>
  <si>
    <t>2j</t>
  </si>
  <si>
    <t>THREAT-2k</t>
  </si>
  <si>
    <t>2k</t>
  </si>
  <si>
    <t>2l</t>
  </si>
  <si>
    <t>2m</t>
  </si>
  <si>
    <t>THREAT-3a</t>
  </si>
  <si>
    <t>THREAT-3b</t>
  </si>
  <si>
    <t>THREAT-3c</t>
  </si>
  <si>
    <t>THREAT-3d</t>
  </si>
  <si>
    <t>THREAT-3e</t>
  </si>
  <si>
    <t>THREAT-3f</t>
  </si>
  <si>
    <t>SITUATION-1a</t>
  </si>
  <si>
    <t>SITUATION-1b</t>
  </si>
  <si>
    <t>SITUATION-1c</t>
  </si>
  <si>
    <t>SITUATION-1d</t>
  </si>
  <si>
    <t>SITUATION-2a</t>
  </si>
  <si>
    <t>SITUATION-2b</t>
  </si>
  <si>
    <t>SITUATION-2c</t>
  </si>
  <si>
    <t>SITUATION-2d</t>
  </si>
  <si>
    <t>SITUATION-2e</t>
  </si>
  <si>
    <t>SITUATION-2f</t>
  </si>
  <si>
    <t>SITUATION-2g</t>
  </si>
  <si>
    <t>SITUATION-2h</t>
  </si>
  <si>
    <t>SITUATION-2i</t>
  </si>
  <si>
    <t>SITUATION-2j</t>
  </si>
  <si>
    <t>SITUATION-3a</t>
  </si>
  <si>
    <t>SITUATION-3b</t>
  </si>
  <si>
    <t>SITUATION-3c</t>
  </si>
  <si>
    <t>SITUATION-3d</t>
  </si>
  <si>
    <t>SITUATION-3e</t>
  </si>
  <si>
    <t>SITUATION-3f</t>
  </si>
  <si>
    <t>SITUATION-3g</t>
  </si>
  <si>
    <t>3h</t>
  </si>
  <si>
    <t>SITUATION-4a</t>
  </si>
  <si>
    <t>SITUATION-4b</t>
  </si>
  <si>
    <t>SITUATION-4c</t>
  </si>
  <si>
    <t>SITUATION-4d</t>
  </si>
  <si>
    <t>SITUATION-4e</t>
  </si>
  <si>
    <t>SITUATION-4f</t>
  </si>
  <si>
    <t>4g</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</si>
  <si>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</si>
  <si>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</si>
  <si>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</si>
  <si>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</si>
  <si>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</si>
  <si>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</si>
  <si>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</si>
  <si>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</si>
  <si>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</si>
  <si>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</si>
  <si>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</si>
  <si>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</si>
  <si>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</si>
  <si>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</si>
  <si>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</si>
  <si>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</si>
  <si>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</si>
  <si>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</si>
  <si>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</si>
  <si>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</si>
  <si>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</si>
  <si>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</si>
  <si>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</si>
  <si>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</si>
  <si>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3i</t>
  </si>
  <si>
    <t>RESPONSE-3j</t>
  </si>
  <si>
    <t>3j</t>
  </si>
  <si>
    <t>RESPONSE-4a</t>
  </si>
  <si>
    <t>RESPONSE-4b</t>
  </si>
  <si>
    <t>RESPONSE-4c</t>
  </si>
  <si>
    <t>RESPONSE-4d</t>
  </si>
  <si>
    <t>RESPONSE-4e</t>
  </si>
  <si>
    <t>RESPONSE-4f</t>
  </si>
  <si>
    <t>RESPONSE-4g</t>
  </si>
  <si>
    <t>WORKFORCE-1a</t>
  </si>
  <si>
    <t>WORKFORCE-1b</t>
  </si>
  <si>
    <t>WORKFORCE-1c</t>
  </si>
  <si>
    <t>WORKFORCE-1d</t>
  </si>
  <si>
    <t>WORKFORCE-1e</t>
  </si>
  <si>
    <t>WORKFORCE-1f</t>
  </si>
  <si>
    <t>WORKFORCE-2a</t>
  </si>
  <si>
    <t>WORKFORCE-2b</t>
  </si>
  <si>
    <t>WORKFORCE-2c</t>
  </si>
  <si>
    <t>WORKFORCE-2d</t>
  </si>
  <si>
    <t>WORKFORCE-2e</t>
  </si>
  <si>
    <t>WORKFORCE-2f</t>
  </si>
  <si>
    <t>WORKFORCE-3a</t>
  </si>
  <si>
    <t>WORKFORCE-3b</t>
  </si>
  <si>
    <t>WORKFORCE-3c</t>
  </si>
  <si>
    <t>WORKFORCE-3d</t>
  </si>
  <si>
    <t>WORKFORCE-3e</t>
  </si>
  <si>
    <t>WORKFORCE-3f</t>
  </si>
  <si>
    <t>WORKFORCE-4a</t>
  </si>
  <si>
    <t>WORKFORCE-4b</t>
  </si>
  <si>
    <t>WORKFORCE-4c</t>
  </si>
  <si>
    <t>WORKFORCE-4d</t>
  </si>
  <si>
    <t>WORKFORCE-4e</t>
  </si>
  <si>
    <t>WORKFORCE-5a</t>
  </si>
  <si>
    <t>WORKFORCE-5b</t>
  </si>
  <si>
    <t>WORKFORCE-5c</t>
  </si>
  <si>
    <t>WORKFORCE-5d</t>
  </si>
  <si>
    <t>WORKFORCE-5e</t>
  </si>
  <si>
    <t>WORKFORCE-5f</t>
  </si>
  <si>
    <t>ARCHITECTURE-1a</t>
  </si>
  <si>
    <t>ARCHITECTURE-1b</t>
  </si>
  <si>
    <t>ARCHITECTURE-1c</t>
  </si>
  <si>
    <t>ARCHITECTURE-1d</t>
  </si>
  <si>
    <t>ARCHITECTURE-1e</t>
  </si>
  <si>
    <t>ARCHITECTURE-1f</t>
  </si>
  <si>
    <t>ARCHITECTURE-1g</t>
  </si>
  <si>
    <t>ARCHITECTURE-1h</t>
  </si>
  <si>
    <t>ARCHITECTURE-1i</t>
  </si>
  <si>
    <t>ARCHITECTURE-2a</t>
  </si>
  <si>
    <t>ARCHITECTURE-2b</t>
  </si>
  <si>
    <t>ARCHITECTURE-2c</t>
  </si>
  <si>
    <t>ARCHITECTURE-3a</t>
  </si>
  <si>
    <t>ARCHITECTURE-3b</t>
  </si>
  <si>
    <t>ARCHITECTURE-3c</t>
  </si>
  <si>
    <t>ARCHITECTURE-3d</t>
  </si>
  <si>
    <t>ARCHITECTURE-4a</t>
  </si>
  <si>
    <t>ARCHITECTURE-4b</t>
  </si>
  <si>
    <t>ARCHITECTURE-4c</t>
  </si>
  <si>
    <t>ARCHITECTURE-4d</t>
  </si>
  <si>
    <t>ARCHITECTURE-4e</t>
  </si>
  <si>
    <t>ARCHITECTURE-4f</t>
  </si>
  <si>
    <t>ARCHITECTURE-4g</t>
  </si>
  <si>
    <t>ARCHITECTURE-4h</t>
  </si>
  <si>
    <t>4h</t>
  </si>
  <si>
    <t>4i</t>
  </si>
  <si>
    <t>ARCHITECTURE-5a</t>
  </si>
  <si>
    <t>ARCHITECTURE-5b</t>
  </si>
  <si>
    <t>ARCHITECTURE-5c</t>
  </si>
  <si>
    <t>ARCHITECTURE-5d</t>
  </si>
  <si>
    <t>ARCHITECTURE-5e</t>
  </si>
  <si>
    <t>ARCHITECTURE-5f</t>
  </si>
  <si>
    <t>ARCHITECTURE-5g</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</si>
  <si>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</si>
  <si>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</si>
  <si>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</si>
  <si>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</si>
  <si>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</si>
  <si>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</si>
  <si>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</si>
  <si>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</si>
  <si>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</si>
  <si>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</si>
  <si>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</si>
  <si>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</si>
  <si>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</si>
  <si>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</si>
  <si>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</si>
  <si>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</si>
  <si>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</si>
  <si>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</si>
  <si>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PROGRAM-2k</t>
  </si>
  <si>
    <t>PROGRAM-3a</t>
  </si>
  <si>
    <t>PROGRAM-3b</t>
  </si>
  <si>
    <t>PROGRAM-3c</t>
  </si>
  <si>
    <t>PROGRAM-3d</t>
  </si>
  <si>
    <t>PROGRAM-3e</t>
  </si>
  <si>
    <t>PROGRAM-3f</t>
  </si>
  <si>
    <t>3k</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</si>
  <si>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</si>
  <si>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</si>
  <si>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</si>
  <si>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</si>
  <si>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</si>
  <si>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</si>
  <si>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</si>
  <si>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</si>
  <si>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</si>
  <si>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</si>
  <si>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</si>
  <si>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</si>
  <si>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</si>
  <si>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</si>
  <si>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</si>
  <si>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</si>
  <si>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</si>
  <si>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</si>
  <si>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</si>
  <si>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</si>
  <si>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</si>
  <si>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</si>
  <si>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</si>
  <si>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</si>
  <si>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</si>
  <si>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</si>
  <si>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</si>
  <si>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REF</t>
  </si>
  <si>
    <t>GEN-ANSWER</t>
  </si>
  <si>
    <t>GEN-COMMENT</t>
  </si>
  <si>
    <t>GEN-LEVEL</t>
  </si>
  <si>
    <t>GEN-PRACTICE</t>
  </si>
  <si>
    <t>RISK-0</t>
  </si>
  <si>
    <t>RISK-1-0</t>
  </si>
  <si>
    <t>RISK-2-0</t>
  </si>
  <si>
    <t>Management Activities</t>
  </si>
  <si>
    <t>RISK-3-0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</si>
  <si>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</si>
  <si>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Adequate resources (people, funding, and tools) are provided to support activities in the RISK domain</t>
  </si>
  <si>
    <t>Personnel performing activities in the RISK domain have the skills and knowledge needed to perform their assigned responsibilities</t>
  </si>
  <si>
    <t>Comment</t>
  </si>
  <si>
    <t>"Level reached"- limit</t>
  </si>
  <si>
    <t>Result must be greater than the limit [%]</t>
  </si>
  <si>
    <t>Level labels</t>
  </si>
  <si>
    <t>Management report level 1 lower limit</t>
  </si>
  <si>
    <t>result &lt; this = LEVEL 0</t>
  </si>
  <si>
    <t>Management report level 2 lower limit</t>
  </si>
  <si>
    <t>result &lt; this = LEVEL 1</t>
  </si>
  <si>
    <t>Management report level 3 lower limit</t>
  </si>
  <si>
    <t>result &lt; this = LEVEL 2, result &gt;= this  = LEVEL 3</t>
  </si>
  <si>
    <t>Answer options</t>
  </si>
  <si>
    <t>2 - Osittain toteutettu</t>
  </si>
  <si>
    <t>3 - Enimmäkseen  toteutettu</t>
  </si>
  <si>
    <t>Critical Sector</t>
  </si>
  <si>
    <t>Elintarvikehuolto</t>
  </si>
  <si>
    <t>Energiahuolto</t>
  </si>
  <si>
    <t>Logistiikka</t>
  </si>
  <si>
    <t>Terveydenhuolto</t>
  </si>
  <si>
    <t>KYBERMITTARI</t>
  </si>
  <si>
    <t>Kriittisten palveluiden ja niiden riippuvuuksien tunnistaminen</t>
  </si>
  <si>
    <t>ASSET-0</t>
  </si>
  <si>
    <t>Manage IT and OT Asset Inventory</t>
  </si>
  <si>
    <t>ASSET-1-0</t>
  </si>
  <si>
    <t>Manage Information Asset Inventory</t>
  </si>
  <si>
    <t>ASSET-2-0</t>
  </si>
  <si>
    <t>Manage Asset Configuration</t>
  </si>
  <si>
    <t>ASSET-3-0</t>
  </si>
  <si>
    <t>Asset configurations are monitored for consistency with baselines throughout the assets’ lifecycles</t>
  </si>
  <si>
    <t>Manage Changes to Assets</t>
  </si>
  <si>
    <t>ASSET-4-0</t>
  </si>
  <si>
    <t>ASSET-5-0</t>
  </si>
  <si>
    <t>Adequate resources (people, funding, and tools) are provided to support activities in the ASSET domain</t>
  </si>
  <si>
    <t>Personnel performing activities in the ASSET domain have the skills and knowledge needed to perform their assigned responsibilities</t>
  </si>
  <si>
    <t>ACCESS-0</t>
  </si>
  <si>
    <t>Establish and Maintain Identities</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</si>
  <si>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</si>
  <si>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</si>
  <si>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Identities are deprovisioned, at least in an ad hoc manner, when no longer required</t>
  </si>
  <si>
    <t>Identities are deprovisioned within organization-defined time thresholds when no longer required</t>
  </si>
  <si>
    <t>ACCESS-2-0</t>
  </si>
  <si>
    <t>ACCESS-3-0</t>
  </si>
  <si>
    <t>Adequate resources (people, funding, and tools) are provided to support activities in the ACCESS domain</t>
  </si>
  <si>
    <t>Personnel performing activities in the ACCESS domain have the skills and knowledge needed to perform their assigned responsibilities</t>
  </si>
  <si>
    <t>Kyberturvallisuuden kypsyystaso</t>
  </si>
  <si>
    <t>ID</t>
  </si>
  <si>
    <t>Identification of Critical Services and their dependencies</t>
  </si>
  <si>
    <t>Organization provided services that are critical to the society (critical services), have been identified and documented.</t>
  </si>
  <si>
    <t>The data needed to provide the critical services, has been mapped and documented.</t>
  </si>
  <si>
    <t>The processes needed to provide the critical services, have been mapped and documented.</t>
  </si>
  <si>
    <t>The systems (IT and OT assets) needed to provide the critical services, have been mapped and documented.</t>
  </si>
  <si>
    <t>The facilities needed to provide the critical services, have been mapped and documented.</t>
  </si>
  <si>
    <t>The supply chain needed to provide the critical services, has been mapped and documented.</t>
  </si>
  <si>
    <t>The period of time how quickly the failure of resources (data, processes, systems, facilities, supply chain) needed by critical services, would have a significant impact on the normal operation of the society, has been determined and documented.</t>
  </si>
  <si>
    <t>The cascade effects across the society of a degraded or failed critical services have been identified and documented.</t>
  </si>
  <si>
    <t>Governance of Critical Services</t>
  </si>
  <si>
    <t>Kriittisten palveluiden hallinta</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</si>
  <si>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</si>
  <si>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All resources (data, processes, systems, facilities, supply chain) that are needed to provide the services critical to the society, are within the scope of the organization's security management policies and processes.</t>
  </si>
  <si>
    <t>All resources (data, processes, systems, facilities, supply chain) that are needed to provide the services critical to the society, are within the scope of the organization's risk management policies and processes.</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</si>
  <si>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</si>
  <si>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Regular board discussions on the security of network and information systems supporting the delivery of your services critical to the society take place, based on timely and accurate information and informed by expert guidance.</t>
  </si>
  <si>
    <t>There is a board-level individual who has overall accountability for the security of networks and information systems needed by the critical services and drives regular discussion at board-level.</t>
  </si>
  <si>
    <t>Direction set at board level is translated into effective organisational practices that direct and control the security of the networks and information systems supporting your critical services.</t>
  </si>
  <si>
    <t>Senior management have visibility of key risk decisions made throughout the organisation.</t>
  </si>
  <si>
    <t>Risk management decision-makers understand their responsibilities for making effective and timely decisions in the context of the risk appetite regarding the essential service, as set by senior management.</t>
  </si>
  <si>
    <t>Risk management decision-making is delegated and escalated where necessary, across the organisation, to people who have the skills, knowledge, tools, and authority they need.</t>
  </si>
  <si>
    <t>Risk management decisions are periodically reviewed to ensure their continued relevance and validity.</t>
  </si>
  <si>
    <t>The risk management process takes into account the resources (data, processes, systems, facilities, supply chain), critical period of time and cascade effects.</t>
  </si>
  <si>
    <t>Minimisation of the impact of cyber security incidents on Critical Services</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</si>
  <si>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</si>
  <si>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Your response plan covers all of your critical services.</t>
  </si>
  <si>
    <t>Your response plan comprehensively covers scenarios that are focused on likely impacts of known and well-understood attacks only.</t>
  </si>
  <si>
    <t>Your response plan is understood by all staff who are involved with your organisation's response function</t>
  </si>
  <si>
    <t>Your response plan is documented and shared with all relevant stakeholders</t>
  </si>
  <si>
    <t>Your incident response plan is based on a clear understanding of the security risks to the networks and information systems supporting your essential service .</t>
  </si>
  <si>
    <t>Your incident response plan is comprehensive (i.e. covers the complete lifecycle of an incident, roles and responsibilities, and reporting) and covers likely impacts of both known attack patterns and of possible attacks, previously unseen.</t>
  </si>
  <si>
    <t>Your incident response plan is documented and integrated with wider organisational business and supply chain response plans.</t>
  </si>
  <si>
    <t>Your incident response plan is communicated and understood by the business areas involved with the supply or maintenance of your essential services.</t>
  </si>
  <si>
    <t>Toimiala</t>
  </si>
  <si>
    <t>2. Huomattava systeeminen vaikutus</t>
  </si>
  <si>
    <t>ARCHITECTURE-0</t>
  </si>
  <si>
    <t>Establish and Maintain Cybersecurity Architecture Strategy and Program</t>
  </si>
  <si>
    <t>ARCHITECTURE-1-0</t>
  </si>
  <si>
    <t>A documented cybersecurity architecture is established and maintained that includes IT and OT systems and networks and aligns with system and asset categorization and prioritization</t>
  </si>
  <si>
    <t>The cybersecurity architecture strategy and program are aligned with the organization’s enterprise architecture strategy and program</t>
  </si>
  <si>
    <t>ARCHITECTURE-2-0</t>
  </si>
  <si>
    <t>ARCHITECTURE-3-0</t>
  </si>
  <si>
    <t>Implement Data Security as an Element of the Cybersecurity Architecture</t>
  </si>
  <si>
    <t>ARCHITECTURE-4-0</t>
  </si>
  <si>
    <t>ARCHITECTURE-5-0</t>
  </si>
  <si>
    <t>Adequate resources (people, funding, and tools) are provided to support activities in the ARCHITECTURE domain</t>
  </si>
  <si>
    <t>Personnel performing activities in the ARCHITECTURE domain have the skills and knowledge needed to perform their assigned responsibilities</t>
  </si>
  <si>
    <t>PROGRAM-0</t>
  </si>
  <si>
    <t>Establish Cybersecurity Program Strategy</t>
  </si>
  <si>
    <t>Kyberturvallisuusstrategia</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</si>
  <si>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</si>
  <si>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</si>
  <si>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The cybersecurity program strategy defines the structure and organization of the cybersecurity program</t>
  </si>
  <si>
    <t>Sponsor Cybersecurity Program</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</si>
  <si>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</si>
  <si>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</si>
  <si>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The cybersecurity program is established according to the cybersecurity program strategy</t>
  </si>
  <si>
    <t>Senior management sponsorship is provided for the development, maintenance, and enforcement of cybersecurity policies</t>
  </si>
  <si>
    <t>Stakeholders for cybersecurity program management activities are identified and involved</t>
  </si>
  <si>
    <t>The organization collaborates with external entities to contribute to the development and implementation of cybersecurity standards, guidelines, leading practices, lessons learned, and emerging technologies</t>
  </si>
  <si>
    <t>Address Cybersecurity in Continuity of Operations</t>
  </si>
  <si>
    <t>PROGRAM-3-0</t>
  </si>
  <si>
    <t>The assets and activities necessary to sustain minimum operations of the function are identified and documented in continuity plans</t>
  </si>
  <si>
    <t>The results of continuity plan testing or activation are compared to recovery objectives, and plans are improved accordingly</t>
  </si>
  <si>
    <t>Continuity plans are periodically reviewed and updated</t>
  </si>
  <si>
    <t>Personnel performing activities in the PROGRAM domain have the skills and knowledge needed to perform their assigned responsibilities</t>
  </si>
  <si>
    <t>THREAT-0</t>
  </si>
  <si>
    <t>THREAT-1-0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</si>
  <si>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</si>
  <si>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Threat information sources that collectively address all components of the threat profile are prioritized and monitored</t>
  </si>
  <si>
    <t>Identified threats are analyzed and prioritized and are addressed accordingly</t>
  </si>
  <si>
    <t>Reduce Cybersecurity Vulnerabilities</t>
  </si>
  <si>
    <t>THREAT-2-0</t>
  </si>
  <si>
    <t>Cybersecurity vulnerability information is gathered and interpreted for the function, at least in an ad hoc manner</t>
  </si>
  <si>
    <t>Cybersecurity vulnerability assessments are performed by parties that are independent of the operations of the function</t>
  </si>
  <si>
    <t>THREAT-3-0</t>
  </si>
  <si>
    <t>Adequate resources (people, funding, and tools) are provided to support activities in the THREAT domain</t>
  </si>
  <si>
    <t>Personnel performing activities in the THREAT domain have the skills and knowledge needed to perform their assigned responsibilities</t>
  </si>
  <si>
    <t>Tilannekuva</t>
  </si>
  <si>
    <t>SITUATION-0</t>
  </si>
  <si>
    <t>Perform Logging</t>
  </si>
  <si>
    <t>SITUATION-1-0</t>
  </si>
  <si>
    <t>Logging should be enabled based on an asset’s potential impact to the function. For example, the greater the potential impact of a compromised asset, the more data an organization might collect about the asset.</t>
  </si>
  <si>
    <t>Log data are being aggregated within the function</t>
  </si>
  <si>
    <t>Perform Monitoring</t>
  </si>
  <si>
    <t>SITUATION-2-0</t>
  </si>
  <si>
    <t>Monitoring and analysis requirements are established and maintained for the function and address timely review of event data</t>
  </si>
  <si>
    <t>Establish and Maintain Situational Awareness</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</si>
  <si>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</si>
  <si>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</si>
  <si>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Methods of communicating the current state of cybersecurity for the function are established and maintained</t>
  </si>
  <si>
    <t>Monitoring data are aggregated to provide an understanding of the operational state of the function</t>
  </si>
  <si>
    <t>Relevant information from across the organization is available to enhance situational awareness</t>
  </si>
  <si>
    <t>SITUATION-4-0</t>
  </si>
  <si>
    <t>Adequate resources (people, funding, and tools) are provided to support activities in the SITUATION domain</t>
  </si>
  <si>
    <t>Personnel performing activities in the SITUATION domain have the skills and knowledge needed to perform their assigned responsibilities</t>
  </si>
  <si>
    <t>RESPONSE-0</t>
  </si>
  <si>
    <t>Detect Cybersecurity Events</t>
  </si>
  <si>
    <t>RESPONSE-1-0</t>
  </si>
  <si>
    <t>Event information is correlated to support incident analysis by identifying patterns, trends, and other common features</t>
  </si>
  <si>
    <t>Analyze Cybersecurity Events and Declare Incidents</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</si>
  <si>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</si>
  <si>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</si>
  <si>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Criteria for declaring cybersecurity incidents are established, at least in an ad hoc manner</t>
  </si>
  <si>
    <t>Cybersecurity events are analyzed to support the declaration of cybersecurity incidents, at least in an ad hoc manner</t>
  </si>
  <si>
    <t>Respond to Cybersecurity Events and Incidents</t>
  </si>
  <si>
    <t>RESPONSE-3-0</t>
  </si>
  <si>
    <t>RESPONSE-4-0</t>
  </si>
  <si>
    <t>Adequate resources (people, funding, and tools) are provided to support activities in the RESPONSE domain</t>
  </si>
  <si>
    <t>Personnel performing activities in the RESPONSE domain have the skills and knowledge needed to perform their assigned responsibilities</t>
  </si>
  <si>
    <t>WORKFORCE-0</t>
  </si>
  <si>
    <t>Assign Cybersecurity Responsibilities</t>
  </si>
  <si>
    <t>WORKFORCE-1-0</t>
  </si>
  <si>
    <t>Cybersecurity responsibilities for the function are identified, at least in an ad hoc manner</t>
  </si>
  <si>
    <t>Cybersecurity responsibilities are assigned to specific people, at least in an ad hoc manner</t>
  </si>
  <si>
    <t>Assigned cybersecurity responsibilities are managed to ensure adequacy and redundancy of coverage, including succession planning</t>
  </si>
  <si>
    <t>Develop Cybersecurity Workforce</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</si>
  <si>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</si>
  <si>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</si>
  <si>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Cybersecurity training is made available to personnel with assigned cybersecurity responsibilities, at least in an ad hoc manner</t>
  </si>
  <si>
    <t>Training programs include continuing education and professional development opportunities for personnel with significant cybersecurity responsibilities</t>
  </si>
  <si>
    <t>Implement Workforce Controls</t>
  </si>
  <si>
    <t>WORKFORCE-3-0</t>
  </si>
  <si>
    <t>Vetting is performed for all positions (including employees, vendors, and contractors) at a level commensurate with position risk</t>
  </si>
  <si>
    <t>A formal accountability process that includes disciplinary actions is implemented for personnel who fail to comply with established security policies and procedures</t>
  </si>
  <si>
    <t>Increase Cybersecurity Awareness</t>
  </si>
  <si>
    <t>WORKFORCE-4-0</t>
  </si>
  <si>
    <t>Cybersecurity awareness activities occur, at least in an ad hoc manner</t>
  </si>
  <si>
    <t>WORKFORCE-5-0</t>
  </si>
  <si>
    <t>Adequate resources (people, funding, and tools) are provided to support activities in the WORKFORCE domain</t>
  </si>
  <si>
    <t>Personnel performing activities in the WORKFORCE domain have the skills and knowledge needed to perform their assigned responsibilities</t>
  </si>
  <si>
    <t>Henkilöstö (sisäinen)</t>
  </si>
  <si>
    <t>Konsultointi</t>
  </si>
  <si>
    <t>Palvelut</t>
  </si>
  <si>
    <t>Yhteensä</t>
  </si>
  <si>
    <t>Suunniteltu</t>
  </si>
  <si>
    <t>Kategoria</t>
  </si>
  <si>
    <t>Category</t>
  </si>
  <si>
    <t>Kyberturvallisuusstrategia määrittelee organisaation kyberturvallisuustavoitteet.</t>
  </si>
  <si>
    <t>Critical Service Protection</t>
  </si>
  <si>
    <t>Organisaation tuottamat yhteiskunnalle kriittiset palvelut on tunnistettu ja dokumentoitu.</t>
  </si>
  <si>
    <t>MIL</t>
  </si>
  <si>
    <t>Answer</t>
  </si>
  <si>
    <t>Suomi</t>
  </si>
  <si>
    <t>English</t>
  </si>
  <si>
    <t>Svenska</t>
  </si>
  <si>
    <t>Valitse kieli / Välj språk / Choose language</t>
  </si>
  <si>
    <t>KYBERMITTARI-0</t>
  </si>
  <si>
    <t>1. Mild systemic impact</t>
  </si>
  <si>
    <t>1. Vähäinen systeeminen vaikutus</t>
  </si>
  <si>
    <t>3. Crippling systemic impact</t>
  </si>
  <si>
    <t>3. Rampauttava systeeminen vaikutus</t>
  </si>
  <si>
    <t>Scenario</t>
  </si>
  <si>
    <t>Kyberturvallisuuden arviointityökalu</t>
  </si>
  <si>
    <t>Function</t>
  </si>
  <si>
    <t>KM50</t>
  </si>
  <si>
    <t>KM60</t>
  </si>
  <si>
    <t>KM61</t>
  </si>
  <si>
    <t>INVEST</t>
  </si>
  <si>
    <t>2. Significant systemic impact</t>
  </si>
  <si>
    <t>Exporting results</t>
  </si>
  <si>
    <t>Management report (R1)</t>
  </si>
  <si>
    <t>TotMIL</t>
  </si>
  <si>
    <t>Kokonaisarvio</t>
  </si>
  <si>
    <t>Arvioinnin vetäjä</t>
  </si>
  <si>
    <t>Toiminto</t>
  </si>
  <si>
    <t>CRITICAL-0</t>
  </si>
  <si>
    <t>CRITICAL-1-0</t>
  </si>
  <si>
    <t>CRITICAL-2-0</t>
  </si>
  <si>
    <t>CRITICAL-3-0</t>
  </si>
  <si>
    <t>Kyberturvallisuuden investointien taso</t>
  </si>
  <si>
    <t>Arviointitulosten vienti</t>
  </si>
  <si>
    <t>C_name</t>
  </si>
  <si>
    <t>C_industry</t>
  </si>
  <si>
    <t>C_function</t>
  </si>
  <si>
    <t>C_securityclass</t>
  </si>
  <si>
    <t>Yhteensä (x 1 000 €)</t>
  </si>
  <si>
    <t>Ohjelmisto-lisenssit</t>
  </si>
  <si>
    <t>Laite-investoinnit</t>
  </si>
  <si>
    <t>Tiedon luokittelu</t>
  </si>
  <si>
    <t>Finanssiala</t>
  </si>
  <si>
    <t>Elintarvike - Alkutuotanto</t>
  </si>
  <si>
    <t>Elintarvike - Elintarviketeollisuus</t>
  </si>
  <si>
    <t>Elintarvike - Kauppa ja jakelu</t>
  </si>
  <si>
    <t>Elintarvike - Muu</t>
  </si>
  <si>
    <t>Energia - Voimatalous</t>
  </si>
  <si>
    <t>Energia - Öljy</t>
  </si>
  <si>
    <t>Energia - Muu</t>
  </si>
  <si>
    <t>Finanssi - Rahoitushuolto</t>
  </si>
  <si>
    <t>Finanssi - Vakuutusala</t>
  </si>
  <si>
    <t>Finanssi - Muu</t>
  </si>
  <si>
    <t>Logistiikka - Ilmakuljetus</t>
  </si>
  <si>
    <t>Logistiikka - Maakuljetus</t>
  </si>
  <si>
    <t>Logistiikka - Vesikuljetus</t>
  </si>
  <si>
    <t>Logistiikka - Muu</t>
  </si>
  <si>
    <t>Terveys - Terveydenhuolto</t>
  </si>
  <si>
    <t>Terveys - Vesihuolto</t>
  </si>
  <si>
    <t>Terveys - Muu</t>
  </si>
  <si>
    <t>Kriit. teollisuus - Kemia</t>
  </si>
  <si>
    <t>Kriit. teollisuus - Metsä</t>
  </si>
  <si>
    <t>Kriit. teollisuus - MIL</t>
  </si>
  <si>
    <t>Kriit. teollisuus - Muovi ja kumi</t>
  </si>
  <si>
    <t>Kriit. teollisuus - Rakennus</t>
  </si>
  <si>
    <t>Kriit. teollisuus - Teknologia</t>
  </si>
  <si>
    <t>Kriit. teollisuus - Muu</t>
  </si>
  <si>
    <t>Kypsyystaso 0</t>
  </si>
  <si>
    <t>Kypsyystaso 3</t>
  </si>
  <si>
    <t>Kypsyystasolle 1 vaadittavia toimenpiteitä</t>
  </si>
  <si>
    <t>Organisaation nykytila</t>
  </si>
  <si>
    <t>Kypsyystaso 1</t>
  </si>
  <si>
    <t>Kypsyystaso 2</t>
  </si>
  <si>
    <t>Organisaation edellinen arviointi</t>
  </si>
  <si>
    <t>Organisation</t>
  </si>
  <si>
    <t>Facilitator</t>
  </si>
  <si>
    <t>Security classification</t>
  </si>
  <si>
    <t>Level of cybersecurity investments</t>
  </si>
  <si>
    <t>KM51</t>
  </si>
  <si>
    <t>KM52</t>
  </si>
  <si>
    <t>KM53</t>
  </si>
  <si>
    <t>KM54</t>
  </si>
  <si>
    <t>KM55</t>
  </si>
  <si>
    <t>KM56</t>
  </si>
  <si>
    <t>KM58</t>
  </si>
  <si>
    <t>KM59</t>
  </si>
  <si>
    <t>INVEST-10</t>
  </si>
  <si>
    <t>INVEST-01</t>
  </si>
  <si>
    <t>INVEST-02</t>
  </si>
  <si>
    <t>INVEST-03</t>
  </si>
  <si>
    <t>INVEST-04</t>
  </si>
  <si>
    <t>INVEST-05</t>
  </si>
  <si>
    <t>INVEST-06</t>
  </si>
  <si>
    <t>INVEST-07</t>
  </si>
  <si>
    <t>INVEST-08</t>
  </si>
  <si>
    <t>INVEST-09</t>
  </si>
  <si>
    <t>INVEST-11</t>
  </si>
  <si>
    <t>Personnel (internal)</t>
  </si>
  <si>
    <t>Consultancy</t>
  </si>
  <si>
    <t>Services</t>
  </si>
  <si>
    <t>Software licenses</t>
  </si>
  <si>
    <t>Hardware invest.</t>
  </si>
  <si>
    <t>Total</t>
  </si>
  <si>
    <t>Planned</t>
  </si>
  <si>
    <t>Total (x 1 000 €)</t>
  </si>
  <si>
    <t>Ref</t>
  </si>
  <si>
    <t>MIL 0</t>
  </si>
  <si>
    <t>MIL 1</t>
  </si>
  <si>
    <t>MIL 2</t>
  </si>
  <si>
    <t>MIL 3</t>
  </si>
  <si>
    <t>GEN-TOTAL</t>
  </si>
  <si>
    <t>Overall level</t>
  </si>
  <si>
    <t>Parameter</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</si>
  <si>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</si>
  <si>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Name</t>
  </si>
  <si>
    <t>Nimi</t>
  </si>
  <si>
    <t>Sector</t>
  </si>
  <si>
    <t>Description of the function in scope of the assessment</t>
  </si>
  <si>
    <t>Kyberturvallisuuden arviointi</t>
  </si>
  <si>
    <t>Level of Cybersecurity Investment</t>
  </si>
  <si>
    <t>Organisaatio</t>
  </si>
  <si>
    <t>Cybersecurity Maturity Level</t>
  </si>
  <si>
    <t>Kyberturvallisuuden vastuiden jakaminen</t>
  </si>
  <si>
    <t>Yleisiä hallintatoimia</t>
  </si>
  <si>
    <t>Adequate resources (people, funding, and tools) are provided to support activities in the PROGRAM domain</t>
  </si>
  <si>
    <t>Johdon tuki kyberturvallisuusohjelmalle</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</si>
  <si>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</si>
  <si>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KYBERMITTARI-10</t>
  </si>
  <si>
    <t>KYBERMITTARI-11</t>
  </si>
  <si>
    <t>KYBERMITTARI-12</t>
  </si>
  <si>
    <t>KYBERMITTARI-13</t>
  </si>
  <si>
    <t>KYBERMITTARI-14</t>
  </si>
  <si>
    <t>KYBERMITTARI-15</t>
  </si>
  <si>
    <t>KYBERMITTARI-16</t>
  </si>
  <si>
    <t>KYBERMITTARI-17</t>
  </si>
  <si>
    <t>KYBERMITTARI-20</t>
  </si>
  <si>
    <t>KYBERMITTARI-21</t>
  </si>
  <si>
    <t>KYBERMITTARI-22</t>
  </si>
  <si>
    <t>KYBERMITTARI-30</t>
  </si>
  <si>
    <t>KYBERMITTARI-31</t>
  </si>
  <si>
    <t>Cybersecurity Self-assessment Tool</t>
  </si>
  <si>
    <t>Level of cybersecurity investments (Investment-sheet)</t>
  </si>
  <si>
    <t>Kyberturvallisuuden investointien taso (Investment-välilehti)</t>
  </si>
  <si>
    <t>KYBERMITTARI-23</t>
  </si>
  <si>
    <t>Cybersecurity Assessment</t>
  </si>
  <si>
    <t>Tulokset ja vertailutiedot</t>
  </si>
  <si>
    <t>Results and reference data</t>
  </si>
  <si>
    <t>Kyberturvallisuuden osiot</t>
  </si>
  <si>
    <t>Cybersecurity domains</t>
  </si>
  <si>
    <t>KYBERMITTARI-32</t>
  </si>
  <si>
    <t>KYBERMITTARI-33</t>
  </si>
  <si>
    <t>KYBERMITTARI-34</t>
  </si>
  <si>
    <t>GEN-SEC</t>
  </si>
  <si>
    <t>Johdon kypsyysraportti (R1)</t>
  </si>
  <si>
    <t>Kybermittarin kypsyysraportti (R2)</t>
  </si>
  <si>
    <t>Cybersecurity maturity report (R2)</t>
  </si>
  <si>
    <t>Kommentti ja viittaukset</t>
  </si>
  <si>
    <t>Comments and references</t>
  </si>
  <si>
    <t>The organisation should identify its role in providing critical services to the society and manage the related risks accordingly.</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</si>
  <si>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</si>
  <si>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ja hallita riskejä sen mukaisesti.</t>
  </si>
  <si>
    <t>Organisaation tulee tunnistaa oma roolinsa yhteiskunnan kannalta kriittisten palveluiden tuottamisessa, tietää mitä näiden palveluiden tuottaminen vaatii ja ymmärtää millaiset vaikutukset palveluiden vikaantumisella saattaisi olla.</t>
  </si>
  <si>
    <t>Organisaation ylimmällä johdolla on näkyvyys tärkeimpiin riskipäätöksiin läpi koko organisaation.</t>
  </si>
  <si>
    <t>(Yhteiskunnalle kriittisten) palveluiden tuottamiseen tarvittava data on tunnistettu ja dokumentoitu.</t>
  </si>
  <si>
    <t>Palveluiden tuottamiseen tarvittavat prosessit on tunnistettu ja dokumentoitu.</t>
  </si>
  <si>
    <t>Palveluiden tuottamiseen tarvittavat järjestelmät (IT- ja OT-omaisuus) on tunnistettu ja dokumentoitu.</t>
  </si>
  <si>
    <t>Palveluiden tuottamiseen tarvittavat toimitusketjut on tunnistettu ja dokumentoitu.</t>
  </si>
  <si>
    <t>Palveluiden tuottamiseen tarvittavat tilat ja laitteet on tunnistettu ja dokumentoitu.</t>
  </si>
  <si>
    <t>Palvelujen heikentymisen tai keskeytymisen aiheuttamat seurannaisvaikutukset yhteiskunnalle on tunnistettu ja dokumentoitu.</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</si>
  <si>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</si>
  <si>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Kaikki resurssit (data, prosessit, järjestelmät, tilat ja toimitusketjut), joita tarvitaan (yhteiskunnalle kriittisten) palveluiden tuottamiseen, ovat organisaation turvallisuuden hallinnan politiikkojen ja prosessien piirissä.</t>
  </si>
  <si>
    <t>Kaikki resurssit (data, prosessit, järjestelmät, tilat ja toimitusketjut), joita tarvitaan yhteiskunnallisesti kriittisten palvelujen tuottamiseen, ovat organisaation riskienhallinnan politiikkojen ja prosessien piirissä.</t>
  </si>
  <si>
    <t>Johtoryhmän nimetyllä jäsenellä on vastuu palveluiden tuottamiseen tarvittavien tietoverkkojen ja -järjestelmien turvallisuuden tasosta. Henkilö ohjaa johtoryhmän säännöllistä keskustelua aiheesta.</t>
  </si>
  <si>
    <t>Johtoryhmä asettaa suunnan ja tahtotilan, joista johdetaan tehokkaita toimintatapoja tietoverkkojen ja -järjestelmien turvallisuuden valvontaan ja ohjaukseen.</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</si>
  <si>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</si>
  <si>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</si>
  <si>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Riskienhallintaprosessissa ja -päätöksenteossa otetaan huomioon resurssit (data, prosessit, järjestelmät, laitteet ja toimitusketju), kriittinen ajanjakso ja seurannaisvaikutukset [kts. CRITICAL-1b-h].</t>
  </si>
  <si>
    <t>Kriittisten palveluiden kyberhäiriöiden vaikutusten minimointi</t>
  </si>
  <si>
    <t>Organisaatiolla on kybertapahtumien ja -häiriöiden hallintasuunnitelma, joka kattaa kaikki (organisaation tuottamat yhteiskunnalle kriittiset) palvelut.</t>
  </si>
  <si>
    <t>Kybertapahtumien ja -häiriöiden hallintaan osallistuva henkilöstö on sisäistänyt ja ymmärtää hallintasuunnitelman hyvin.</t>
  </si>
  <si>
    <t>Hallintasuunnitelma rajoittuu tunnettuihin hyökkäyksiin, mutta kattaa perusteellisesti näiden hyökkäysten todennäköiset vaikutukset.</t>
  </si>
  <si>
    <t>Hallintasuunnitelma on dokumentoitu ja se jaetaan kaikille relevanteille sidosryhmille.</t>
  </si>
  <si>
    <t>Hallintasuunnitelma perustuu (yhteiskunnalle kriittisten palveluiden tuottamiseen tarvittavien) tietoverkkojen ja -järjestelmien riskien perusteelliseen tunnistamiseen ja ymmärtämiseen.</t>
  </si>
  <si>
    <t>Hallintasuunnitelma on dokumentoitu ja integroitu osaksi organisaation laajempaa liiketoiminnan ja toimitusketjujen jatkuvuudenhallintaa.</t>
  </si>
  <si>
    <t>Kaikki yhteiskunnalle kriittisten palveluiden tuottamiseen osallistuvat organisaation liiketoimintayksiköt ovat saaneet ja sisäistäneet hallintasuunnitelman.</t>
  </si>
  <si>
    <t>Johtoryhmä käsittelee palveluiden tuottamiseen tarvittavien tietoverkkojen ja -järjestelmien turvallisuuden tasoa säännöllisesti; käyttäen pohjana ajantasaista ja tarkkaa tietoa sekä organisaation ammattilaisten asiantuntemusta.</t>
  </si>
  <si>
    <t>Riskienhallinnan päätöksentekoa voidaan tarvittaessa delegoida tai korottaa ("escalate") läpi koko organisaation sellaisille henkilöille, joilla on sopivat tiedot, taidot ja valtuudet päätösten tekemiseen.</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</si>
  <si>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</si>
  <si>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</si>
  <si>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Riippuvuuksien tunnistamiseen kuuluu, että organisaatio tunnistaa ja ymmärtää perusteellisesti (toiminnan osa-alueen toimintavarmuuden kannalta) tärkeimmät ulkoiset suhteet toimittajiin, alihankkijoihin ja muihin kolmansiin osapuoliin.</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</si>
  <si>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</si>
  <si>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</si>
  <si>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Organisaation tulee käyttää lokien ja muiden lähteiden kautta kerättyä tietoa saadakseen selkeän yleiskuvan operatiivisen toiminnan ja kyberturvallisuuden tilasta.</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</si>
  <si>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</si>
  <si>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</si>
  <si>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</si>
  <si>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</si>
  <si>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</si>
  <si>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</si>
  <si>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</si>
  <si>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</si>
  <si>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Current</t>
  </si>
  <si>
    <t>Domain_text</t>
  </si>
  <si>
    <t>KM70</t>
  </si>
  <si>
    <t>KM71</t>
  </si>
  <si>
    <t>KM72</t>
  </si>
  <si>
    <t>Previous</t>
  </si>
  <si>
    <t>Reference</t>
  </si>
  <si>
    <t>Referenssi</t>
  </si>
  <si>
    <t>Nykytila</t>
  </si>
  <si>
    <t>Edellinen</t>
  </si>
  <si>
    <t>Background</t>
  </si>
  <si>
    <t>MIL0</t>
  </si>
  <si>
    <t>MIL1</t>
  </si>
  <si>
    <t>MIl2</t>
  </si>
  <si>
    <t>MIL3</t>
  </si>
  <si>
    <t>Kyberuhat</t>
  </si>
  <si>
    <t>Henkilöstö</t>
  </si>
  <si>
    <t>Kriittiset
palvelut</t>
  </si>
  <si>
    <t>Riskien
hallinta</t>
  </si>
  <si>
    <t>Toimitus
ketjut</t>
  </si>
  <si>
    <t>Pääsyn
hallinta</t>
  </si>
  <si>
    <t>Kyber
häiriöt</t>
  </si>
  <si>
    <t>Kehitys
ohjelma</t>
  </si>
  <si>
    <t>Kyber
arkkitehtuuri</t>
  </si>
  <si>
    <t>Report labels</t>
  </si>
  <si>
    <t>Referenssiryhmän keskiarvo</t>
  </si>
  <si>
    <t>Report colourschema</t>
  </si>
  <si>
    <t>KM73</t>
  </si>
  <si>
    <t>Activities required for progressing to Maturity Level 1</t>
  </si>
  <si>
    <t>KM62</t>
  </si>
  <si>
    <t>Current Maturity Level</t>
  </si>
  <si>
    <t>Previous Maturity Level</t>
  </si>
  <si>
    <t>Reference Group</t>
  </si>
  <si>
    <t>KM74</t>
  </si>
  <si>
    <t>KM63</t>
  </si>
  <si>
    <t xml:space="preserve"> Following Cybersecurity Domains</t>
  </si>
  <si>
    <t xml:space="preserve"> Kyberturvallisuuden osioiden mukaisesti</t>
  </si>
  <si>
    <t>KM64</t>
  </si>
  <si>
    <t>KM65</t>
  </si>
  <si>
    <t xml:space="preserve"> Following an indicative mapping from C2M2 to NIST Framework Core</t>
  </si>
  <si>
    <t>Yksityiskohtainen NIST Cybersecurity Framework Core -raportti</t>
  </si>
  <si>
    <t>Detailed NIST Cybersecurity Framework Core report</t>
  </si>
  <si>
    <t>Nuläget</t>
  </si>
  <si>
    <t>Föregående</t>
  </si>
  <si>
    <t>Referens</t>
  </si>
  <si>
    <t>Nivå 0</t>
  </si>
  <si>
    <t>Nivå 1</t>
  </si>
  <si>
    <t>Nivå 2</t>
  </si>
  <si>
    <t>Nivå 3</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</si>
  <si>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</si>
  <si>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</si>
  <si>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Tehdyt riskienhallintapäätökset käydään läpi aika ajoin, jotta varmistutaan siitä, että ne ovat pysyneet relevantteina ja pätevinä.</t>
  </si>
  <si>
    <t>Hallintasuunnitelma kattaa perusteellisesti sekä tunnettujen hyökkäysten, että toistaiseksi tuntemattomien hyökkäysten todennäköiset vaikutukset. Suunnitelma kattaa perusteellisesti häiriön koko elinkaaren, roolit ja vastuut sekä raportointivelvoitteet.</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</si>
  <si>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</si>
  <si>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</si>
  <si>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</si>
  <si>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Values entered into this table are presented in the automated reports</t>
  </si>
  <si>
    <t>Tähän taulukkoon syötetyt vertailutiedot esitetään raporteissa.</t>
  </si>
  <si>
    <t>Worksheet general parameters.</t>
  </si>
  <si>
    <t>Parameter area</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</si>
  <si>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</si>
  <si>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</si>
  <si>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</si>
  <si>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</si>
  <si>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</si>
  <si>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</si>
  <si>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</si>
  <si>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</si>
  <si>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</si>
  <si>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</si>
  <si>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</si>
  <si>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</si>
  <si>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</si>
  <si>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</si>
  <si>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</si>
  <si>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</si>
  <si>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</si>
  <si>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</si>
  <si>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</si>
  <si>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</si>
  <si>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</si>
  <si>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</si>
  <si>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Energy</t>
  </si>
  <si>
    <t>Logistics</t>
  </si>
  <si>
    <t>Food and Agriculture</t>
  </si>
  <si>
    <t>Financial Services</t>
  </si>
  <si>
    <t>Healthcare and Publich Health</t>
  </si>
  <si>
    <t>Energiförsörjning</t>
  </si>
  <si>
    <t>Logistik</t>
  </si>
  <si>
    <t>Report domains</t>
  </si>
  <si>
    <t>aggr</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</si>
  <si>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</si>
  <si>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</si>
  <si>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Quick guide for exporting results (Microsoft Office Excel 2016)</t>
  </si>
  <si>
    <t>Pikaohjeet tulosten vientiin (Microsoft Office Excel 2016)</t>
  </si>
  <si>
    <t>2 - Partiellt implementerad</t>
  </si>
  <si>
    <t>3 - Mestadels implementerad</t>
  </si>
  <si>
    <t>4 - Helt implementerad</t>
  </si>
  <si>
    <t>Livsmedelsförsörjning</t>
  </si>
  <si>
    <t>Finansbranschen</t>
  </si>
  <si>
    <t>Hälso- och sjukvård</t>
  </si>
  <si>
    <t>Livsmedel - Primärproduktion</t>
  </si>
  <si>
    <t>Livsmedel - Livsmedelsindustri</t>
  </si>
  <si>
    <t>Livsmedel - Handel och distribution</t>
  </si>
  <si>
    <t>Livsmedel - Övrig</t>
  </si>
  <si>
    <t>Energi - Kraftekonomi</t>
  </si>
  <si>
    <t>Energi - Olja</t>
  </si>
  <si>
    <t>Energi - Övrig</t>
  </si>
  <si>
    <t>Finans - Finansiell service</t>
  </si>
  <si>
    <t>Finans - Försäkringsbranschen</t>
  </si>
  <si>
    <t>Finans - Övrig</t>
  </si>
  <si>
    <t>Industri - Kemi</t>
  </si>
  <si>
    <t>Industri - Skog</t>
  </si>
  <si>
    <t>Industri - MIL</t>
  </si>
  <si>
    <t>Industri - Plast och gummi</t>
  </si>
  <si>
    <t>Industri - Bygg</t>
  </si>
  <si>
    <t>Industri - Teknik</t>
  </si>
  <si>
    <t>Industri - Övrig</t>
  </si>
  <si>
    <t>Logistik - Lufttransporter</t>
  </si>
  <si>
    <t>Logistik - Landtransporter</t>
  </si>
  <si>
    <t>Logistik - Sjötransporter</t>
  </si>
  <si>
    <t>Logistik - Övrig</t>
  </si>
  <si>
    <t>Hälso - Hälso- och sjukvård</t>
  </si>
  <si>
    <t>Hälso - Vattenförsörjning</t>
  </si>
  <si>
    <t>Hälso - Övrig</t>
  </si>
  <si>
    <t>Energy - Power</t>
  </si>
  <si>
    <t>Energy - Oil</t>
  </si>
  <si>
    <t>Energy - Other</t>
  </si>
  <si>
    <t>Finance - Financial Services</t>
  </si>
  <si>
    <t>Finance - Insurance</t>
  </si>
  <si>
    <t>Finance - Other</t>
  </si>
  <si>
    <t>Critical Manufacturing - Chemistry</t>
  </si>
  <si>
    <t>Critical Manufacturing - Forestry</t>
  </si>
  <si>
    <t>Critical Manufacturing - Military</t>
  </si>
  <si>
    <t>Critical Manufacturing - Plastic and rubber</t>
  </si>
  <si>
    <t>Critical Manufacturing - Construction</t>
  </si>
  <si>
    <t>Critical Manufacturing - Technology</t>
  </si>
  <si>
    <t>Critical Manufacturing - Other</t>
  </si>
  <si>
    <t>Logistics - Air transport</t>
  </si>
  <si>
    <t>Logistics - Ground transport</t>
  </si>
  <si>
    <t>Logistics - Sea transport</t>
  </si>
  <si>
    <t>Logistics - Other</t>
  </si>
  <si>
    <t>Public health - Healthcare</t>
  </si>
  <si>
    <t>Public health - Water and waste</t>
  </si>
  <si>
    <t>Public health - Other</t>
  </si>
  <si>
    <t>Food and Agriculture - Agriculture</t>
  </si>
  <si>
    <t>Food and Agriculture - Foodstuff</t>
  </si>
  <si>
    <t>Food and Agriculture - Trade and distribution</t>
  </si>
  <si>
    <t>Food and Agriculture - Other</t>
  </si>
  <si>
    <t>NB! Blue colour text is used intentionally for the formatting of reports.</t>
  </si>
  <si>
    <t>1. Små systemiska verkningar</t>
  </si>
  <si>
    <t>2. Stora systemiska verkningar</t>
  </si>
  <si>
    <t>3. Förlamande systemiska verkningar</t>
  </si>
  <si>
    <t>ASSET-1g</t>
  </si>
  <si>
    <t>ASSET-1h</t>
  </si>
  <si>
    <t>ASSET-1i</t>
  </si>
  <si>
    <t>ASSET-2g</t>
  </si>
  <si>
    <t>ASSET-2h</t>
  </si>
  <si>
    <t>ASSET-2i</t>
  </si>
  <si>
    <t>RISK-2f</t>
  </si>
  <si>
    <t>RISK-2g</t>
  </si>
  <si>
    <t>RISK-2h</t>
  </si>
  <si>
    <t>RISK-2i</t>
  </si>
  <si>
    <t>RISK-2j</t>
  </si>
  <si>
    <t>RISK-2k</t>
  </si>
  <si>
    <t>RISK-2l</t>
  </si>
  <si>
    <t>RISK-2m</t>
  </si>
  <si>
    <t>RISK-4a</t>
  </si>
  <si>
    <t>RISK-4b</t>
  </si>
  <si>
    <t>RISK-4c</t>
  </si>
  <si>
    <t>RISK-4d</t>
  </si>
  <si>
    <t>RISK-4e</t>
  </si>
  <si>
    <t>RISK-5a</t>
  </si>
  <si>
    <t>RISK-5b</t>
  </si>
  <si>
    <t>RISK-5c</t>
  </si>
  <si>
    <t>RISK-5d</t>
  </si>
  <si>
    <t>RISK-5e</t>
  </si>
  <si>
    <t>RISK-5f</t>
  </si>
  <si>
    <t>ACCESS-2i</t>
  </si>
  <si>
    <t>ACCESS-3h</t>
  </si>
  <si>
    <t>ACCESS-3i</t>
  </si>
  <si>
    <t>ACCESS-4a</t>
  </si>
  <si>
    <t>ACCESS-4b</t>
  </si>
  <si>
    <t>ACCESS-4c</t>
  </si>
  <si>
    <t>ACCESS-4d</t>
  </si>
  <si>
    <t>ACCESS-4e</t>
  </si>
  <si>
    <t>ACCESS-4f</t>
  </si>
  <si>
    <t>SITUATION-1e</t>
  </si>
  <si>
    <t>RESPONSE-3k</t>
  </si>
  <si>
    <t>RESPONSE-4h</t>
  </si>
  <si>
    <t>RESPONSE-4i</t>
  </si>
  <si>
    <t>RESPONSE-4j</t>
  </si>
  <si>
    <t>RESPONSE-4k</t>
  </si>
  <si>
    <t>RESPONSE-4l</t>
  </si>
  <si>
    <t>RESPONSE-4m</t>
  </si>
  <si>
    <t>RESPONSE-4n</t>
  </si>
  <si>
    <t>RESPONSE-4o</t>
  </si>
  <si>
    <t>RESPONSE-4p</t>
  </si>
  <si>
    <t>RESPONSE-4q</t>
  </si>
  <si>
    <t>RESPONSE-5a</t>
  </si>
  <si>
    <t>RESPONSE-5b</t>
  </si>
  <si>
    <t>RESPONSE-5c</t>
  </si>
  <si>
    <t>RESPONSE-5d</t>
  </si>
  <si>
    <t>RESPONSE-5e</t>
  </si>
  <si>
    <t>RESPONSE-5f</t>
  </si>
  <si>
    <t>WORKFORCE-3g</t>
  </si>
  <si>
    <t>ARCHITECTURE-1j</t>
  </si>
  <si>
    <t>ARCHITECTURE-2d</t>
  </si>
  <si>
    <t>ARCHITECTURE-2e</t>
  </si>
  <si>
    <t>ARCHITECTURE-2f</t>
  </si>
  <si>
    <t>ARCHITECTURE-2g</t>
  </si>
  <si>
    <t>ARCHITECTURE-2h</t>
  </si>
  <si>
    <t>ARCHITECTURE-2i</t>
  </si>
  <si>
    <t>ARCHITECTURE-2j</t>
  </si>
  <si>
    <t>ARCHITECTURE-2k</t>
  </si>
  <si>
    <t>ARCHITECTURE-2l</t>
  </si>
  <si>
    <t>ARCHITECTURE-3e</t>
  </si>
  <si>
    <t>ARCHITECTURE-3f</t>
  </si>
  <si>
    <t>ARCHITECTURE-3g</t>
  </si>
  <si>
    <t>ARCHITECTURE-3h</t>
  </si>
  <si>
    <t>ARCHITECTURE-3i</t>
  </si>
  <si>
    <t>ARCHITECTURE-3j</t>
  </si>
  <si>
    <t>ARCHITECTURE-5h</t>
  </si>
  <si>
    <t>ARCHITECTURE-6a</t>
  </si>
  <si>
    <t>ARCHITECTURE-6b</t>
  </si>
  <si>
    <t>ARCHITECTURE-6c</t>
  </si>
  <si>
    <t>ARCHITECTURE-6d</t>
  </si>
  <si>
    <t>ARCHITECTURE-6e</t>
  </si>
  <si>
    <t>ARCHITECTURE-6f</t>
  </si>
  <si>
    <t>RISK-4</t>
  </si>
  <si>
    <t>RISK-5</t>
  </si>
  <si>
    <t>ACCESS-4</t>
  </si>
  <si>
    <t>4j</t>
  </si>
  <si>
    <t>4k</t>
  </si>
  <si>
    <t>4l</t>
  </si>
  <si>
    <t>4m</t>
  </si>
  <si>
    <t>4n</t>
  </si>
  <si>
    <t>4o</t>
  </si>
  <si>
    <t>4p</t>
  </si>
  <si>
    <t>RESPONSE-5</t>
  </si>
  <si>
    <t>5h</t>
  </si>
  <si>
    <t>ARCHITECTURE-6</t>
  </si>
  <si>
    <t>6a</t>
  </si>
  <si>
    <t>6b</t>
  </si>
  <si>
    <t>6c</t>
  </si>
  <si>
    <t>6d</t>
  </si>
  <si>
    <t>6e</t>
  </si>
  <si>
    <t>6f</t>
  </si>
  <si>
    <t>THIRDPARTY-1a</t>
  </si>
  <si>
    <t>THIRDPARTY-1b</t>
  </si>
  <si>
    <t>THIRDPARTY-1c</t>
  </si>
  <si>
    <t>THIRDPARTY-1d</t>
  </si>
  <si>
    <t>THIRDPARTY-1e</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</si>
  <si>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</si>
  <si>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</si>
  <si>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</si>
  <si>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</si>
  <si>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</si>
  <si>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</si>
  <si>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</si>
  <si>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</si>
  <si>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</si>
  <si>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</si>
  <si>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</si>
  <si>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</si>
  <si>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</si>
  <si>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</si>
  <si>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THIRDPARTY-3e</t>
  </si>
  <si>
    <t>THIRDPARTY-3f</t>
  </si>
  <si>
    <t>Asset, Change, and Configuration Management (ASSET)</t>
  </si>
  <si>
    <t>The IT and OT asset inventory includes assets within the function that may be leveraged to achieve a threat objective</t>
  </si>
  <si>
    <t>Inventoried IT and OT assets are prioritized based on defined criteria that include importance to the delivery of the function</t>
  </si>
  <si>
    <t>The IT and OT asset inventory is current, that is, it is updated periodically and according to defined triggers, such as system changes</t>
  </si>
  <si>
    <t>Data is destroyed or securely removed from IT and OT assets prior to redeployment and at end of life</t>
  </si>
  <si>
    <t>The information asset inventory includes information assets within the function that may be leveraged to achieve a threat objective</t>
  </si>
  <si>
    <t>The information asset inventory is current, that is, it is updated periodically and according to defined triggers, such as system changes</t>
  </si>
  <si>
    <t>Configuration baselines are established, at least in an ad hoc manner</t>
  </si>
  <si>
    <t>Configuration baselines are used to configure assets at deployment and restoration</t>
  </si>
  <si>
    <t>Configuration baselines are reviewed and updated periodically and according to defined triggers, such as system changes and changes to the cybersecurity architecture</t>
  </si>
  <si>
    <t>Change management practices address the full lifecycle of assets (for example, acquisition, deployment, operation, retirement)</t>
  </si>
  <si>
    <t>Documented procedures are established, followed, and maintained for activities in the ASSET domain</t>
  </si>
  <si>
    <t>Up-to-date policies or other organizational directives define requirements for activities in the ASSET domain</t>
  </si>
  <si>
    <t>Responsibility, accountability, and authority for the performance of activities in the ASSET domain are assigned to personnel</t>
  </si>
  <si>
    <t>The effectiveness of activities in the ASSET domain is evaluated and tracked</t>
  </si>
  <si>
    <t>Threat and Vulnerability Management (THREAT)</t>
  </si>
  <si>
    <t>Information sources to support cybersecurity vulnerability discovery are identified, at least in an ad hoc manner</t>
  </si>
  <si>
    <t>Cybersecurity vulnerability assessments are performed, at least in an ad hoc manner</t>
  </si>
  <si>
    <t>Cybersecurity vulnerabilities that are relevant to the delivery of the function are mitigated, at least in an ad hoc manner</t>
  </si>
  <si>
    <t>Cybersecurity vulnerability assessments are performed periodically and according to defined triggers, such as system changes and external events</t>
  </si>
  <si>
    <t>Identified cybersecurity vulnerabilities are analyzed and prioritized, and are addressed accordingly</t>
  </si>
  <si>
    <t>Internal and external information sources to support threat management activities are identified, at least in an ad hoc manner</t>
  </si>
  <si>
    <t>Threats that are relevant to the delivery of the function are addressed, at least in an ad hoc manner</t>
  </si>
  <si>
    <t>The threat profile for the function is updated periodically and according to defined triggers, such as system changes and external events</t>
  </si>
  <si>
    <t>Secure, near-real-time methods are used for receiving and sharing threat information to enable rapid analysis and action</t>
  </si>
  <si>
    <t>Documented procedures are established, followed, and maintained for activities in the THREAT domain</t>
  </si>
  <si>
    <t>Up-to-date policies or other organizational directives define requirements for activities in the THREAT domain</t>
  </si>
  <si>
    <t>Responsibility, accountability, and authority for the performance of activities in the THREAT domain are assigned to personnel</t>
  </si>
  <si>
    <t>The effectiveness of activities in the THREAT domain is evaluated and tracked</t>
  </si>
  <si>
    <t>Risk Management (RISK)</t>
  </si>
  <si>
    <t>The organization has a strategy for cyber risk management, which may be developed and managed in an ad hoc manner</t>
  </si>
  <si>
    <t>Information from RISK domain activities is communicated to relevant stakeholders</t>
  </si>
  <si>
    <t>Governance for the cyber risk management program is established and maintained</t>
  </si>
  <si>
    <t>Cyber risks are identified, at least in an ad hoc manner</t>
  </si>
  <si>
    <t>Identified cyber risks are consolidated into categories (for example, data breaches, insider mistakes, ransomware, OT control takeover) to facilitate management at the category level</t>
  </si>
  <si>
    <t>Stakeholders from appropriate operations and business areas participate in the identification of cyber risks</t>
  </si>
  <si>
    <t>Cyber risk categories and cyber risks are documented in a risk register or other artifact</t>
  </si>
  <si>
    <t>Cyber risk categories and cyber risks are assigned to risk owners</t>
  </si>
  <si>
    <t>Cyber risk identification activities are performed periodically and according to defined triggers, such as system changes and external events</t>
  </si>
  <si>
    <t>Threat management information from THREAT domain activities is used to update cyber risks and identify new risks</t>
  </si>
  <si>
    <t>Information from THIRD-PARTIES domain activities is used to update cyber risks and identify new risks</t>
  </si>
  <si>
    <t>Cyber risks are prioritized based on estimated impact, at least in an ad hoc manner</t>
  </si>
  <si>
    <t>A defined method is used to select and implement risk responses based on analysis and prioritization</t>
  </si>
  <si>
    <t>Cybersecurity controls are evaluated to determine whether they are designed appropriately and are operating as intended to mitigate identified cyber risks</t>
  </si>
  <si>
    <t>Risk responses (such as mitigate, accept, avoid, or transfer) are reviewed periodically by leadership to determine whether they are still appropriate</t>
  </si>
  <si>
    <t>Documented procedures are established, followed, and maintained for activities in the RISK domain</t>
  </si>
  <si>
    <t>Up-to-date policies or other organizational directives define requirements for activities in the RISK domain</t>
  </si>
  <si>
    <t>Responsibility, accountability, and authority for the performance of activities in the RISK domain are assigned to personnel</t>
  </si>
  <si>
    <t>The effectiveness of activities in the RISK domain is evaluated and tracked</t>
  </si>
  <si>
    <t>Identity and Access Management (ACCESS)</t>
  </si>
  <si>
    <t>Identities are provisioned, at least in an ad hoc manner, for personnel and other entities such as services and devices that require access to assets (note that this does not preclude shared identities)</t>
  </si>
  <si>
    <t>Credentials (such as passwords, smartcards, certificates, and keys) are issued for personnel and other entities that require access to assets, at least in an ad hoc manner</t>
  </si>
  <si>
    <t>Logical access controls are implemented, at least in an ad hoc manner</t>
  </si>
  <si>
    <t>Logical access requirements incorporate the principle of least privilege</t>
  </si>
  <si>
    <t>Logical access requests are reviewed and approved by the asset owner</t>
  </si>
  <si>
    <t>Logical access privileges are reviewed and updated to ensure conformance with access requirements periodically and according to defined triggers, such as changes to organizational structure, and after any temporary elevation of privileges</t>
  </si>
  <si>
    <t>Physical access controls (such as fences, locks, and signage) are implemented, at least in an ad hoc manner</t>
  </si>
  <si>
    <t>Physical access logs are maintained, at least in an ad hoc manner</t>
  </si>
  <si>
    <t>Physical access requirements incorporate the principle of least privilege</t>
  </si>
  <si>
    <t>Physical access requests are reviewed and approved by the asset owner</t>
  </si>
  <si>
    <t>Physical access privileges are reviewed and updated</t>
  </si>
  <si>
    <t>Physical access is monitored to identify potential cybersecurity events</t>
  </si>
  <si>
    <t>Documented procedures are established, followed, and maintained for activities in the ACCESS domain</t>
  </si>
  <si>
    <t>Up-to-date policies or other organizational directives define requirements for activities in the ACCESS domain</t>
  </si>
  <si>
    <t>Responsibility, accountability, and authority for the performance of activities in the ACCESS domain are assigned to personnel</t>
  </si>
  <si>
    <t>The effectiveness of activities in the ACCESS domain is evaluated and tracked</t>
  </si>
  <si>
    <t>Situational Awareness (SITUATION)</t>
  </si>
  <si>
    <t>Logging is occurring for assets within the function that may be leveraged to achieve a threat objective, wherever feasible</t>
  </si>
  <si>
    <t>Periodic reviews of log data or other cybersecurity monitoring activities are performed, at least in an ad hoc manner</t>
  </si>
  <si>
    <t>Indicators of anomalous activity are established and maintained based on system logs, data flows, network baselines, cybersecurity events, and architecture and are monitored across the IT and OT environments</t>
  </si>
  <si>
    <t>Alarms and alerts are configured and maintained to support the identification of cybersecurity events</t>
  </si>
  <si>
    <t>Risk analysis information (RISK-3d) is used to identify indicators of anomalous activity</t>
  </si>
  <si>
    <t>Indicators of anomalous activity are evaluated and updated periodically and according to defined triggers, such as system changes and external events</t>
  </si>
  <si>
    <t>Situational awareness reporting requirements have been defined and address timely dissemination of cybersecurity information to organization-defined stakeholders</t>
  </si>
  <si>
    <t>Relevant information from outside the organization is collected and made available across the organization to enhance situational awareness</t>
  </si>
  <si>
    <t>Documented procedures are established, followed, and maintained for activities in the SITUATION domain</t>
  </si>
  <si>
    <t>Up-to-date policies or other organizational directives define requirements for activities in the SITUATION domain</t>
  </si>
  <si>
    <t>Responsibility, accountability, and authority for the performance of activities in the SITUATION domain are assigned to personnel</t>
  </si>
  <si>
    <t>The effectiveness of activities in the SITUATION domain is evaluated and tracked</t>
  </si>
  <si>
    <t>Event and Incident Response, Continuity of Operations (RESPONSE)</t>
  </si>
  <si>
    <t>Criteria are established for cybersecurity event detection (for example, what constitutes a cybersecurity event, where to look for cybersecurity events)</t>
  </si>
  <si>
    <t>Situational awareness for the function is monitored to support the identification of cybersecurity events</t>
  </si>
  <si>
    <t>Cybersecurity events are declared to be incidents based on established criteria</t>
  </si>
  <si>
    <t>Cybersecurity incident declaration criteria are updated periodically and according to defined triggers, such as organizational changes, lessons learned from plan execution, or newly identified threats</t>
  </si>
  <si>
    <t>Criteria for cybersecurity incident declaration are aligned with cyber risk prioritization criteria (RISK-3b)</t>
  </si>
  <si>
    <t>Reporting of incidents is performed (for example, internal reporting, ICS-CERT, relevant ISACs), at least in an ad hoc manner</t>
  </si>
  <si>
    <t>Cybersecurity incident response plans that address all phases of the incident lifecycle are established and maintained</t>
  </si>
  <si>
    <t>Continuity plans are developed to sustain and restore operation of the function if a cybersecurity event or incident occurs, at least in an ad hoc manner</t>
  </si>
  <si>
    <t>Data backups are available and tested, at least in an ad hoc manner</t>
  </si>
  <si>
    <t>IT and OT assets requiring spares are identified, at least in an ad hoc manner</t>
  </si>
  <si>
    <t>Continuity plans are tested through evaluations and exercises periodically and according to defined triggers, such as system changes and external events</t>
  </si>
  <si>
    <t>Data backups are logically or physically separated from source data</t>
  </si>
  <si>
    <t>Spares for selected IT and OT assets are available</t>
  </si>
  <si>
    <t>Cybersecurity incident criteria that trigger the execution of continuity plans are established and communicated to incident response and continuity management personnel</t>
  </si>
  <si>
    <t>Documented procedures are established, followed, and maintained for activities in the RESPONSE domain</t>
  </si>
  <si>
    <t>Up-to-date policies or other organizational directives define requirements for activities in the RESPONSE domain</t>
  </si>
  <si>
    <t>Responsibility, accountability, and authority for the performance of activities in the RESPONSE domain are assigned to personnel</t>
  </si>
  <si>
    <t>The effectiveness of activities in the RESPONSE domain is evaluated and tracked</t>
  </si>
  <si>
    <t>Third-Party Risk Management (THIRD-PARTIES)</t>
  </si>
  <si>
    <t>Important IT and OT third-party dependencies are identified (that is, internal and external parties on which the delivery of the function depends, including operating partners), at least in an ad hoc manner</t>
  </si>
  <si>
    <t>Third parties are prioritized according to established criteria (for example, importance to the delivery of the function, impact of a compromise or disruption, ability to negotiate cybersecurity requirements within contracts)</t>
  </si>
  <si>
    <t>Escalated prioritization is assigned to suppliers and other third parties whose compromise or disruption could cause significant consequences (for example, single-source suppliers, suppliers with privileged access)</t>
  </si>
  <si>
    <t>Prioritization of suppliers and other third parties is updated periodically and according to defined triggers, such as system changes and external events</t>
  </si>
  <si>
    <t>The selection of suppliers and other third parties includes consideration of their cybersecurity qualifications, at least in an ad hoc manner</t>
  </si>
  <si>
    <t>The selection of products and services includes consideration of their cybersecurity capabilities, at least in an ad hoc manner</t>
  </si>
  <si>
    <t>A defined method is followed to identify cybersecurity requirements and implement associated controls that protect against the risks arising from suppliers and other third parties</t>
  </si>
  <si>
    <t>A defined method is followed to evaluate and select suppliers and other third parties</t>
  </si>
  <si>
    <t>More rigorous cybersecurity controls are implemented for higher priority suppliers and other third parties</t>
  </si>
  <si>
    <t>Suppliers and other third parties periodically attest to their ability to meet cybersecurity requirements</t>
  </si>
  <si>
    <t>Cybersecurity requirements for suppliers and other third parties include secure software and secure product development requirements where appropriate</t>
  </si>
  <si>
    <t>Selection criteria include consideration of safeguards against counterfeit or compromised software, hardware, and services</t>
  </si>
  <si>
    <t>Adequate resources (people, funding, and tools) are provided to support activities in the THIRD-PARTIES domain</t>
  </si>
  <si>
    <t>Up-to-date policies or other organizational directives define requirements for activities in the THIRD-PARTIES domain</t>
  </si>
  <si>
    <t>Personnel performing activities in the THIRD-PARTIES domain have the skills and knowledge needed to perform their assigned responsibilities</t>
  </si>
  <si>
    <t>The effectiveness of activities in the THIRD-PARTIES domain is evaluated and tracked</t>
  </si>
  <si>
    <t>Workforce Management (WORKFORCE)</t>
  </si>
  <si>
    <t>Cybersecurity responsibilities are assigned to specific roles, including external service providers</t>
  </si>
  <si>
    <t>Cybersecurity responsibilities are documented</t>
  </si>
  <si>
    <t>Cybersecurity responsibilities and job requirements are reviewed and updated periodically and according to defined triggers, such as system changes and changes to organizational structure</t>
  </si>
  <si>
    <t>Cybersecurity knowledge, skill, and ability requirements and gaps are identified for both current and future operational needs, at least in an ad hoc manner</t>
  </si>
  <si>
    <t>The effectiveness of training programs is evaluated periodically, and improvements are made as appropriate</t>
  </si>
  <si>
    <t>Personnel vetting (for example, background checks, drug tests) is performed at hire, at least in an ad hoc manner</t>
  </si>
  <si>
    <t>Personnel separation procedures address cybersecurity, at least in an ad hoc manner</t>
  </si>
  <si>
    <t>The effectiveness of cybersecurity awareness activities is evaluated periodically and according to defined triggers, such as system changes and external events, and improvements are made as appropriate</t>
  </si>
  <si>
    <t>Documented procedures are established, followed, and maintained for activities in the WORKFORCE domain</t>
  </si>
  <si>
    <t>Up-to-date policies or other organizational directives define requirements for activities in the WORKFORCE domain</t>
  </si>
  <si>
    <t>Responsibility, accountability, and authority for the performance of activities in the WORKFORCE domain are assigned to personnel</t>
  </si>
  <si>
    <t>The effectiveness of activities in the WORKFORCE domain is evaluated and tracked</t>
  </si>
  <si>
    <t>Cybersecurity Architecture (ARCHITECTURE)</t>
  </si>
  <si>
    <t>The organization has a strategy for cybersecurity architecture, which may be developed and managed in an ad hoc manner</t>
  </si>
  <si>
    <t>The cybersecurity architecture establishes and maintains cybersecurity requirements for the organization’s assets</t>
  </si>
  <si>
    <t>Cybersecurity controls are selected and implemented to meet cybersecurity requirements</t>
  </si>
  <si>
    <t>Conformance of the organization’s systems and networks to the cybersecurity architecture is evaluated periodically and according to defined triggers, such as system changes and external events</t>
  </si>
  <si>
    <t>The organization’s IT systems are separated from OT systems through segmentation, either through physical means or logical means, at least in an ad hoc manner</t>
  </si>
  <si>
    <t>Network protections incorporate the principles of least privilege and least functionality</t>
  </si>
  <si>
    <t>Network protections are defined and enforced for selected asset types according to asset risk and priority (for example, internal assets, perimeter assets, assets connected to the organization’s Wi-Fi, cloud assets, remote access, and externally owned devices)</t>
  </si>
  <si>
    <t>Web traffic and email are monitored, analyzed, and controlled (for example, malicious link blocking, suspicious download blocking, email authentication techniques, IP address blocking)</t>
  </si>
  <si>
    <t>All assets are segmented into distinct security zones based on cybersecurity requirements</t>
  </si>
  <si>
    <t>The cybersecurity architecture enables the isolation of compromised assets</t>
  </si>
  <si>
    <t>The principle of least privilege (for example, limiting administrative access for users and service accounts) is enforced</t>
  </si>
  <si>
    <t>The principle of least functionality (for example, limiting services, limiting applications, limiting ports, limiting connected devices) is enforced</t>
  </si>
  <si>
    <t>Security applications are required as an element of device configuration where feasible (for example, endpoint detection and response, host-based firewalls)</t>
  </si>
  <si>
    <t>The use of removeable media is controlled (for example, limiting the use of USB devices, managing external hard drives)</t>
  </si>
  <si>
    <t>Configuration of and changes to firmware are controlled throughout the asset lifecycle</t>
  </si>
  <si>
    <t>All software developed in-house is developed using secure software development practices</t>
  </si>
  <si>
    <t>The selection of all procured software includes consideration of the vendor’s secure software development practices</t>
  </si>
  <si>
    <t>The architecture review process evaluates the security of new and revised applications prior to deployment</t>
  </si>
  <si>
    <t>The authenticity of all software and firmware is validated prior to deployment</t>
  </si>
  <si>
    <t>Security testing (for example, static testing, dynamic testing, fuzz testing, penetration testing) is performed for in-house-developed and in-house-tailored applications periodically and according to defined triggers, such as system changes and external events</t>
  </si>
  <si>
    <t>Sensitive data is protected at rest, at least in an ad hoc manner</t>
  </si>
  <si>
    <t>Key management infrastructure (that is, key generation, key storage, key destruction, key update, and key revocation) is implemented to support cryptographic controls</t>
  </si>
  <si>
    <t>Controls to restrict the exfiltration of data (for example, data loss prevention tools) are implemented</t>
  </si>
  <si>
    <t>The cybersecurity architecture includes protections (such as full disk encryption) for data that is stored on assets that may be lost or stolen</t>
  </si>
  <si>
    <t>The cybersecurity architecture includes protections against unauthorized changes to software, firmware, and data</t>
  </si>
  <si>
    <t>Documented procedures are established, followed, and maintained for activities in the ARCHITECTURE domain</t>
  </si>
  <si>
    <t>Up-to-date policies or other organizational directives define requirements for activities in the ARCHITECTURE domain</t>
  </si>
  <si>
    <t>Responsibility, accountability, and authority for the performance of activities in the ARCHITECTURE domain are assigned to personnel</t>
  </si>
  <si>
    <t>The effectiveness of activities in the ARCHITECTURE domain is evaluated and tracked</t>
  </si>
  <si>
    <t>Cybersecurity Program Management (PROGRAM)</t>
  </si>
  <si>
    <t>The organization has a cybersecurity program strategy, which may be developed and managed in an ad hoc manner</t>
  </si>
  <si>
    <t>The cybersecurity program strategy defines goals and objectives for the organization’s cybersecurity activities</t>
  </si>
  <si>
    <t>The cybersecurity program strategy defines the organization’s approach to provide program oversight and governance for cybersecurity activities</t>
  </si>
  <si>
    <t>The cybersecurity program strategy identifies standards and guidelines intended to be followed by the program</t>
  </si>
  <si>
    <t>Senior management with proper authority provides support for the cybersecurity program, at least in an ad hoc manner</t>
  </si>
  <si>
    <t>Senior management sponsorship for the cybersecurity program is visible and active</t>
  </si>
  <si>
    <t>Responsibility for the cybersecurity program is assigned to a role with sufficient authority</t>
  </si>
  <si>
    <t>Cybersecurity program activities are periodically reviewed to ensure that they align with the cybersecurity program strategy</t>
  </si>
  <si>
    <t>Cybersecurity activities are independently reviewed to ensure conformance with cybersecurity policies and procedures, periodically and according to defined triggers, such as process changes</t>
  </si>
  <si>
    <t>Documented procedures are established, followed, and maintained for activities in the PROGRAM domain</t>
  </si>
  <si>
    <t>Up-to-date policies or other organizational directives define requirements for activities in the PROGRAM domain</t>
  </si>
  <si>
    <t>Responsibility, accountability, and authority for the performance of activities in the PROGRAM domain are assigned to personnel</t>
  </si>
  <si>
    <t>The effectiveness of activities in the PROGRAM domain is evaluated and tracked</t>
  </si>
  <si>
    <t>Control Logical Access</t>
  </si>
  <si>
    <t>Control Physical Access</t>
  </si>
  <si>
    <t>Establish and Maintain Cyber Risk Management Strategy and Program</t>
  </si>
  <si>
    <t>Identify and Prioritize Third Parties</t>
  </si>
  <si>
    <t>Implement Network Protections as an Element of the Cybersecurity Architecture</t>
  </si>
  <si>
    <t>Identify Cyber Risk</t>
  </si>
  <si>
    <t>Manage Third-Party Risk</t>
  </si>
  <si>
    <t>Respond to Threats and Share Threat Information</t>
  </si>
  <si>
    <t>Implement IT and OT Asset Security as an Element of the Cybersecurity Architecture</t>
  </si>
  <si>
    <t>Analyze Cyber Risk</t>
  </si>
  <si>
    <t>Implement Software Security as an Element of the Cybersecurity Architecture</t>
  </si>
  <si>
    <t>Respond to Cyber Risk</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</si>
  <si>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</si>
  <si>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</si>
  <si>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</si>
  <si>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</si>
  <si>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</si>
  <si>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</si>
  <si>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RISK-4-0</t>
  </si>
  <si>
    <t>RISK-5-0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</si>
  <si>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</si>
  <si>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</si>
  <si>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</si>
  <si>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ACCESS-4-0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</si>
  <si>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</si>
  <si>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RESPONSE-5-0</t>
  </si>
  <si>
    <t>ARCHITECTURE-6-0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</si>
  <si>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</si>
  <si>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</si>
  <si>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</si>
  <si>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</si>
  <si>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</si>
  <si>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</si>
  <si>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</si>
  <si>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</si>
  <si>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</si>
  <si>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</si>
  <si>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</si>
  <si>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</si>
  <si>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</si>
  <si>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</si>
  <si>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</si>
  <si>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</si>
  <si>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</si>
  <si>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Konfiguraation hallinta</t>
  </si>
  <si>
    <t>Muutoksenhallinta</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</si>
  <si>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</si>
  <si>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</si>
  <si>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Osallistujat</t>
  </si>
  <si>
    <t>EDELLINEN ARVIOINTI</t>
  </si>
  <si>
    <t>Kyberturvallisuuden kehitysalueet</t>
  </si>
  <si>
    <t>Kommentit</t>
  </si>
  <si>
    <t>Päivämäärä</t>
  </si>
  <si>
    <t>Haavoittuvuuksien vähentäminen</t>
  </si>
  <si>
    <t>Uhkien torjunta ja uhkatiedon jakaminen</t>
  </si>
  <si>
    <t>Kyberriskien tunnistaminen</t>
  </si>
  <si>
    <t>Riskien analysointi</t>
  </si>
  <si>
    <t>Riskeihin reagointi</t>
  </si>
  <si>
    <t>Identiteettien luominen ja hallinta</t>
  </si>
  <si>
    <t>Lokienhallinta</t>
  </si>
  <si>
    <t>Ympäristöjen valvonta</t>
  </si>
  <si>
    <t>Tilannekuvan ylläpito</t>
  </si>
  <si>
    <t>Tapahtumien havainnointi</t>
  </si>
  <si>
    <t>Tapahtumien analysointi ja häiriötilanteiden määrittäminen</t>
  </si>
  <si>
    <t>Tapahtumiin ja häiriöihin reagoiminen</t>
  </si>
  <si>
    <t>Kyberturvallisuus osana toiminnan jatkuvuutta</t>
  </si>
  <si>
    <t>Kyberturvallisuuteen keskittyvän henkilöstön kehittäminen</t>
  </si>
  <si>
    <t>Henkilöstöhallinnon prosessit</t>
  </si>
  <si>
    <t>Koulutus ja kybertietoisuuden lisääminen</t>
  </si>
  <si>
    <t>Rekisteriin on kirjattu laitteista ja ohjelmistoista sellaisia ominaisuuksia, jotka tukevat organisaation kybertoimintaa (esimerkiksi laitteen tai ohjelmiston sijainti, prioriteetti, käyttöjärjestelmä tai firmware-versio).</t>
  </si>
  <si>
    <t>Rekisteriin kirjatut laitteet ja ohjelmistot on priorisoitu noudattaen määriteltyjä priorisointikriteerejä, joihin kuuluu arviointi laitteen tai ohjelmiston tärkeydestä toiminnolle.</t>
  </si>
  <si>
    <t>Rekisteri on ajan tasalla (eli rekisteriä päivitetään aika ajoin ja määriteltyjen tilanteiden kuten järjestelmämuutosten yhteydessä).</t>
  </si>
  <si>
    <t>Rekisteriin kirjatut tietovarannot on priorisoitu noudattaen määriteltyjä priorisointikriteerejä, joihin kuuluu arviointi tietovarannon tärkeydestä toiminnolle.</t>
  </si>
  <si>
    <t>Vakioituja perusasetuksia käytetään, kun laitteille, ohjelmistoille tai tietovarannoille luodaan uusi konfiguraatio tai palautetaan vanha konfiguraatio.</t>
  </si>
  <si>
    <t>Konfiguraatioiden yhdenmukaisuutta vakioituihin perusasetuksiin seurataan säännöllisesti koko laitteen, ohjelmiston tai tietovarannon elinkaaren ajan.</t>
  </si>
  <si>
    <t>Muutoksenhallinnan käytännöt kattavat laitteiden, ohjelmistojen ja tiedon koko elinkaaren (esimerkiksi hankinnan, käyttöönoton, käytön ja käytöstä poiston).</t>
  </si>
  <si>
    <t>ASSET-osion toimintaa varten on määritetty dokumentoidut toimintatavat, joita noudatetaan ja päivitetään säännöllisesti.</t>
  </si>
  <si>
    <t>ASSET-osion toimintaa varten on tarjolla riittävät resurssit (henkilöstö, rahoitus ja työkalut).</t>
  </si>
  <si>
    <t>ASSET-osion toimintaa suorittavilla työntekijöillä on riittävät tiedot ja taidot tehtäviensä suorittamiseen.</t>
  </si>
  <si>
    <t>ASSET-osion toiminnan suorittamiseen tarvittavat vastuut, tilivelvollisuudet ja valtuutukset on jalkautettu soveltuville työntekijöille.</t>
  </si>
  <si>
    <t>ASSET-osion toiminnan vaikuttavuutta arvioidaan ja seurataan.</t>
  </si>
  <si>
    <t>Haavoittuvuusarviointeja suoritetaan aika ajoin ja määriteltyjen tilanteiden kuten järjestelmämuutosten tai ulkoisten tapahtumien yhteydessä.</t>
  </si>
  <si>
    <t>Tunnistetut haavoittuvuudet analysoidaan, priorisoidaan ja niihin puututaan tilanteen edellyttämin keinoin.</t>
  </si>
  <si>
    <t>Uhkatiedon lähteet kattavat kaikki uhkaprofiilin eri osat ja näitä tietolähteitä seurataan säännöllisesti.</t>
  </si>
  <si>
    <t>Tunnistetut uhat analysoidaan, priorisoidaan ja niihin puututaan tilanteen edellyttämin keinoin.</t>
  </si>
  <si>
    <t>Toiminnon uhkaprofiili päivitetään aika ajoin ja määriteltyjen tilanteiden kuten järjestelmämuutosten tai ulkoisten tapahtumien yhteydessä.</t>
  </si>
  <si>
    <t>THREAT-osion toimintaa varten on määritetty dokumentoidut toimintatavat, joita noudatetaan ja päivitetään säännöllisesti.</t>
  </si>
  <si>
    <t>THREAT-osion toimintaa varten on tarjolla riittävät resurssit (henkilöstö, rahoitus ja työkalut).</t>
  </si>
  <si>
    <t>THREAT-osion toimintaa suorittavilla työntekijöillä on riittävät tiedot ja taidot tehtäviensä suorittamiseen.</t>
  </si>
  <si>
    <t>THREAT-osion toiminnan suorittamiseen tarvittavat vastuut, tilivelvollisuudet ja valtuutukset on jalkautettu soveltuville työntekijöille.</t>
  </si>
  <si>
    <t>THREAT-osion toiminnan vaikuttavuutta arvioidaan ja seurataan.</t>
  </si>
  <si>
    <t>Kyberriskienhallinnan toimenpiteistä jaetaan tietoa soveltuville sidosryhmille.</t>
  </si>
  <si>
    <t>Tunnistetut kyberriskit jaetaan erillisiin kategorioihin, jotta riskejä voidaan hallita kategoriakohtaisesti (kategorioita voivat olla esimerkiksi tietovuodot, sisäiset virheet, ransomware tai OT-laitteiden kaappaus).</t>
  </si>
  <si>
    <t>Kyberriskit ja kyberriskikategoriat dokumentoidaan riskirekisteriin (tai vastaavaan tietovarastoon).</t>
  </si>
  <si>
    <t>Kyberriskeille ja kyberriskikategorioille on nimitetty omistajat.</t>
  </si>
  <si>
    <t>Yritysjohto tarkastaa sekä kyberriskien vaikutusarviointien että kyberturvallisuuden suojausmekanismien arviointien tulokset varmistuakseen riskienhallinnan riittävyydestä ja siitä, että riskit ovat organisaation riskinottohalukkuuden mukaisia.</t>
  </si>
  <si>
    <t>RISK-osion toimintaa varten on määritetty dokumentoidut toimintatavat, joita noudatetaan ja päivitetään säännöllisesti.</t>
  </si>
  <si>
    <t>RISK-osion toimintaa varten on tarjolla riittävät resurssit (henkilöstö, rahoitus ja työkalut).</t>
  </si>
  <si>
    <t>RISK-osion toimintaa suorittavilla työntekijöillä on riittävät tiedot ja taidot tehtäviensä suorittamiseen.</t>
  </si>
  <si>
    <t>RISK-osion toiminnan suorittamiseen tarvittavat vastuut, tilivelvollisuudet ja valtuutukset on jalkautettu soveltuville työntekijöille.</t>
  </si>
  <si>
    <t>RISK-osion toiminnan vaikuttavuutta arvioidaan ja seurataan.</t>
  </si>
  <si>
    <t>Identiteetit poistetaan käytöstä organisaation määrittelemien enimmäismääräaikojen puitteissa, kun niitä ei enää tarvita.</t>
  </si>
  <si>
    <t>Käyttöoikeuksien vaatimuksissa on huomioitu pienimmän valtuuden periaate (ref. "principle of least privilege").</t>
  </si>
  <si>
    <t>Käyttöoikeuspyynnöt tarkastaa ja hyväksyy kyseisen laitteen, ohjelmiston tai tietovarannon omistaja.</t>
  </si>
  <si>
    <t>Kirjautumis- ja yhteydenmuodostusyrityksiä seurataan ja niissä havaitut poikkeavuudet toimivat kybertapahtumien indikaattoreina.</t>
  </si>
  <si>
    <t>Pääsyoikeuksien vaatimuksissa on huomioitu pienimmän valtuuden periaate (ref. "principle of least privilege").</t>
  </si>
  <si>
    <t>Pääsyoikeuspyynnöt tarkastaa ja hyväksyy kyseisen tilan, laitteen, ohjelmiston tai tietovarannon omistaja.</t>
  </si>
  <si>
    <t>Pääsyoikeudet, joihin liittyy korkeampi riski, tarkastetaan perusteellisemmin ja niiden käyttöä valvotaan tarkemmin.</t>
  </si>
  <si>
    <t>Pääsyoikeudet tarkastetaan ja päivitetään aika ajoin.</t>
  </si>
  <si>
    <t>Pääsyoikeuksien käyttöä seurataan ja niistä pyritään tunnistamaan mahdollisia kybertapahtumia.</t>
  </si>
  <si>
    <t>ACCESS-osion toimintaa varten on määritetty dokumentoidut toimintatavat, joita noudatetaan ja päivitetään säännöllisesti.</t>
  </si>
  <si>
    <t>ACCESS-osion toimintaa varten on tarjolla riittävät resurssit (henkilöstö, rahoitus ja työkalut).</t>
  </si>
  <si>
    <t>ACCESS-osion toimintaa suorittavilla työntekijöillä on riittävät tiedot ja taidot tehtäviensä suorittamiseen.</t>
  </si>
  <si>
    <t>ACCESS-osion toiminnan suorittamiseen tarvittavat vastuut, tilivelvollisuudet ja valtuutukset on jalkautettu soveltuville työntekijöille.</t>
  </si>
  <si>
    <t>ACCESS-osion toiminnan vaikuttavuutta arvioidaan ja seurataan.</t>
  </si>
  <si>
    <t>Lokitieto koostetaan yhteen keskitetysti toiminnon sisällä.</t>
  </si>
  <si>
    <t>Valvonnalle ja havaintojen analysoinnille on määritetty tarkempia vaatimuksia, joita päivitetään säännöllisesti ja jotka kattavat tapahtumatietojen oikea-aikaisen tarkastelun.</t>
  </si>
  <si>
    <t>Kybertapahtumien tunnistamista varten on määritetty erilaisia hälytyksiä ja ilmoituksia, joita päivitetään säännöllisesti.</t>
  </si>
  <si>
    <t>Riskianalyyseistä saatua tietoa [kts. RISK-3d] hyödynnetään, kun määritetään poikkeavan toiminnan indikaattoreita.</t>
  </si>
  <si>
    <t>Valvontatieto kootaan yhteen toiminnon operatiivisen tilannekuvan muodostamiseksi.</t>
  </si>
  <si>
    <t>Tilannekuvan rikastamiseksi on saatavilla soveltuvaa tietoa eri puolilta organisaatiota.</t>
  </si>
  <si>
    <t>Tilannekuvan raportoinnista on määritetty vaatimuksia, joihin kuuluu oikea-aikaisen kyberturvallisuustiedon jakaminen organisaation määrittelemille sidosryhmille.</t>
  </si>
  <si>
    <t>Tilannekuvan rikastamiseksi kerätään soveltuvaa tietoa organisaation ulkopuolelta. Lisäksi tätä tietoa jaetaan organisaation määrittelemille sisäisille sidosryhmille.</t>
  </si>
  <si>
    <t>SITUATION-osion toimintaa varten on määritetty dokumentoidut toimintatavat, joita noudatetaan ja päivitetään säännöllisesti.</t>
  </si>
  <si>
    <t>SITUATION-osion toimintaa varten on tarjolla riittävät resurssit (henkilöstö, rahoitus ja työkalut).</t>
  </si>
  <si>
    <t>SITUATION-osion toimintaa suorittavilla työntekijöillä on riittävät tiedot ja taidot tehtäviensä suorittamiseen.</t>
  </si>
  <si>
    <t>SITUATION-osion toiminnan suorittamiseen tarvittavat vastuut, tilivelvollisuudet ja valtuutukset on jalkautettu soveltuville työntekijöille.</t>
  </si>
  <si>
    <t>SITUATION-osion toiminnan vaikuttavuutta arvioidaan ja seurataan.</t>
  </si>
  <si>
    <t>Kybertapahtumista ja niiden havaitsemisesta on laadittu kriteeristö (johon kuuluu esimerkiksi määritelmä tilanteista, jotka täyttävät kybertapahtuman määritelmän tai määritelmä siitä, missä kybertapahtumia voidaan havaita).</t>
  </si>
  <si>
    <t>Tapahtumien tietoja verrataan keskenään, jotta niistä tunnistettaisiin mahdollisia säännönmukaisuuksia, trendejä tai muita yhteisiä piirteitä, joilla voitaisiin tukea kyberhäiriöiden analysointityötä.</t>
  </si>
  <si>
    <t>Toiminnon tilannekuvaa seurataan siten, että se tukee mahdollisten kybertapahtumien havaitsemista.</t>
  </si>
  <si>
    <t>Kyberhäiriöiden määrittämisestä on laadittu virallinen kriteeristö, joka perustuu siihen, miten häiriöt voivat vaikuttaa toimintoon.</t>
  </si>
  <si>
    <t>Kybertapahtumat määritetään kyberhäiriöiksi laaditun kriteeristön mukaisesti.</t>
  </si>
  <si>
    <t>Kyberhäiriöiden määrittämisen kriteeristö päivitetään aika ajoin ja määriteltyjen tilanteiden kuten organisaatiomuutosten, harjoitustoiminnasta saatujen kokemusten tai uusien havaittujen uhkien perusteella.</t>
  </si>
  <si>
    <t>Jatkuvuussuunnitelmissa on tunnistettu ja dokumentoitu ne laitteet, ohjelmistot ja tietovarannot sekä toiminnat, jotka minimissään tarvitaan toiminnon toiminnan ylläpitämiseksi.</t>
  </si>
  <si>
    <t>Jatkuvuussuunnitelmat testataan arvioimalla ja/tai harjoittelemalla aika ajoin ja määriteltyjen tilanteiden kuten järjestelmämuutosten tai ulkoisten tapahtumien yhteydessä.</t>
  </si>
  <si>
    <t>Jatkuvuussuunnitelman käyttöönottamisen kriteerit kyberhäiriötilanteissa on määritetty ja viestitty häiriöiden käsittelystä ja valmiussuunnitelmista vastuussa oleville työntekijöille.</t>
  </si>
  <si>
    <t>Jatkuvuussuunnitelmien testauksesta tai tositilanteista saatuja havaintoja verrataan asetettuihin toipumistavoitteisiin ja suunnitelmia kehitetään näiden havaintojen perusteella.</t>
  </si>
  <si>
    <t>RESPONSE-osion toimintaa varten on määritetty dokumentoidut toimintatavat, joita noudatetaan ja päivitetään säännöllisesti.</t>
  </si>
  <si>
    <t>RESPONSE-osion toimintaa varten on tarjolla riittävät resurssit (henkilöstö, rahoitus ja työkalut).</t>
  </si>
  <si>
    <t>RESPONSE-osion toimintaa suorittavilla työntekijöillä on riittävät tiedot ja taidot tehtäviensä suorittamiseen.</t>
  </si>
  <si>
    <t>RESPONSE-osion toiminnan vaikuttavuutta arvioidaan ja seurataan.</t>
  </si>
  <si>
    <t>Valintakriteereiden osana on huomioitu asianmukaisesti toimet väärennettyjä tai vaarantuneita ohjelmistoja, laitteita tai palveluita vastaan.</t>
  </si>
  <si>
    <t>Hankittavien laitteiden, ohjelmistojen ja tietovarantojen hyväksyntätestaukseen kuuluu kyberturvallisuusvaatimusten testaus.</t>
  </si>
  <si>
    <t>Kyberturvallisuuteen liittyvät vastuut on dokumentoitu.</t>
  </si>
  <si>
    <t>Kyberturvallisuuteen liittyvät vastuut ja työtehtävien vaatimukset tarkastetaan ja päivitetään aika ajoin ja määriteltyjen tilanteiden kuten järjestelmämuutosten yhteydessä tai organisaatiorakenteen muuttuessa.</t>
  </si>
  <si>
    <t>Kyberturvallisuuskoulutus on edellytyksenä käyttö- tai pääsyoikeuksien myöntämiselle toiminnon kannalta tärkeisiin laitteisiin, ohjelmistoihin ja tietovarantoihin.</t>
  </si>
  <si>
    <t>WORKFORCE-osion toimintaa varten on määritetty dokumentoidut toimintatavat, joita noudatetaan ja päivitetään säännöllisesti.</t>
  </si>
  <si>
    <t>WORKFORCE-osion toimintaa varten on tarjolla riittävät resurssit (henkilöstö, rahoitus ja työkalut).</t>
  </si>
  <si>
    <t>WORKFORCE-osion toimintaa suorittavilla työntekijöillä on riittävät tiedot ja taidot tehtäviensä suorittamiseen.</t>
  </si>
  <si>
    <t>WORKFORCE-osion toiminnan suorittamiseen tarvittavat vastuut, tilivelvollisuudet ja valtuutukset on jalkautettu soveltuville työntekijöille.</t>
  </si>
  <si>
    <t>WORKFORCE-osion toiminnan vaikuttavuutta arvioidaan ja seurataan.</t>
  </si>
  <si>
    <t>Kyberarkkitehtuuri määrittää kyberturvallisuusvaatimukset toiminnon kannalta tärkeille laitteille, ohjelmistoille ja tietovarannoille.</t>
  </si>
  <si>
    <t>Kyberturvallisuuden suojausmekanismit on valittu ja toteutettu siten, että kyberturvallisuusvaatimukset toteutuvat.</t>
  </si>
  <si>
    <t>Organisaation järjestelmien ja verkkojen vaatimustenmukaisuutta kyberarkkitehtuuriin nähden arvioidaan aika ajoin ja määriteltyjen tilanteiden kuten järjestelmämuutosten tai ulkoisten tapahtumien yhteydessä.</t>
  </si>
  <si>
    <t>Verkkojen suojauksessa huomioidaan pienimmän valtuuden ja pienimmän toiminnallisuuden periaatteet.</t>
  </si>
  <si>
    <t>Kaikki laitteet, ohjelmistot ja tietovarannot on segmentoitu turvallisuusvyöhykkeisiin perustuen niille asetettuihin kybervaatimuksiin.</t>
  </si>
  <si>
    <t>Kyberarkkitehtuuri mahdollistaa saastuneiden laitteiden, ohjelmistojen ja tietovarantojen erottamisen muista.</t>
  </si>
  <si>
    <t>Pienimmän käyttöoikeuden periaate on pantu täytäntöön (esimerkiksi rajoittamalla hallinta- tai ylläpitotunnusten oikeuksia).</t>
  </si>
  <si>
    <t>Pienimmän toiminnallisuuden periaate on pantu täytäntöön (esim. rajoittamalla käytettäviä palveluita, ohjelmia, portteja tai liitettäviä laitteita).</t>
  </si>
  <si>
    <t>Tietoturvaohjelmistot vaaditaan soveltuvin osin osana laitteiden konfiguraatiota (esimerkiksi päätelaitteen turva- ja havainnointiratkaisut tai päätelaitekohtaiset palomuuriratkaisut).</t>
  </si>
  <si>
    <t>Siirrettäviä ja irrotettavia muistilaitteita valvotaan (esimerkiksi rajoittamalla USB-laitteiden tai ulkoisten levyjen käyttöä).</t>
  </si>
  <si>
    <t>Kaikki sisäisesti kehitettävät ohjelmistot ja sovellukset kehitetään käyttäen turvallisen sovelluskehityksen periaatteita.</t>
  </si>
  <si>
    <t>Kaikkien ohjelmisto- ja sovellushankintojen valinnassa huomioidaan noudattaako toimittaja turvallisen sovelluskehityksen periaatteita.</t>
  </si>
  <si>
    <t>Arkkitehtuurikatselmointiprosessissa arvioidaan uusien ja päivitettyjen ohjelmistojen ja sovellusten turvallisuutta ennen niiden vientiä tuotantoon.</t>
  </si>
  <si>
    <t>Ohjelmistojen ja laiteohjelmistojen (firmware) aitous varmistetaan ennen käyttöönottoa.</t>
  </si>
  <si>
    <t>Avaintenhallintainfrastruktuuri (eli avainten luonti, säilytys, tuhoaminen, päivittäminen ja kumoaminen) on käytössä salausmenetelmien tukemiseksi.</t>
  </si>
  <si>
    <t>Käytössä on suojausmekanismeja rajoittamaan tiedon varastamisen mahdollisuutta (esimerkiksi tiedon hävittämistä estävät työkalut).</t>
  </si>
  <si>
    <t>Kyberarkkitehtuuriin kuuluu suojausmekanismeja (esimerkiksi laitteiden kovalevyjen salaus) tiedolle, joka on tallennettu laitteille, jotka saatetaan hukata tai varastaa.</t>
  </si>
  <si>
    <t>Kyberarkkitehtuuri kattaa suojausmenetelmät sovellusten, laiteohjelmistojen (firmware) ja tiedon luvattomien muutosten varalle.</t>
  </si>
  <si>
    <t>ARCHITECTURE-osion toimintaa varten on määritetty dokumentoidut toimintatavat, joita noudatetaan ja päivitetään säännöllisesti.</t>
  </si>
  <si>
    <t>ARCHITECTURE-osion toimintaa varten on tarjolla riittävät resurssit (henkilöstö, rahoitus ja työkalut).</t>
  </si>
  <si>
    <t>ARCHITECTURE-osion toimintaa suorittavilla työntekijöillä on riittävät tiedot ja taidot tehtäviensä suorittamiseen.</t>
  </si>
  <si>
    <t>ARCHITECTURE-osion toiminnan suorittamiseen tarvittavat vastuut, tilivelvollisuudet ja valtuutukset on jalkautettu soveltuville työntekijöille.</t>
  </si>
  <si>
    <t>ARCHITECTURE-osion toiminnan vaikuttavuutta arvioidaan ja seurataan.</t>
  </si>
  <si>
    <t>Organisaation ylin johto tukee kyberturvallisuuspolitiikkojen ja -ohjeiden kehittämistä, ylläpitoa ja täytäntöönpanoa.</t>
  </si>
  <si>
    <t>PROGRAM-osion toimintaa varten on määritetty dokumentoidut toimintatavat, joita noudatetaan ja päivitetään säännöllisesti.</t>
  </si>
  <si>
    <t>PROGRAM-osion toimintaa varten on tarjolla riittävät resurssit (henkilöstö, rahoitus ja työkalut).</t>
  </si>
  <si>
    <t>PROGRAM-osion toimintaa suorittavilla työntekijöillä on riittävät tiedot ja taidot tehtäviensä suorittamiseen.</t>
  </si>
  <si>
    <t>PROGRAM-osion toiminnan suorittamiseen tarvittavat vastuut, tilivelvollisuudet ja valtuutukset on jalkautettu soveltuville työntekijöille.</t>
  </si>
  <si>
    <t>PROGRAM-osion toiminnan vaikuttavuutta arvioidaan ja seurataan.</t>
  </si>
  <si>
    <t>KYBERMITTARI-35</t>
  </si>
  <si>
    <t>KYBERMITTARI-36</t>
  </si>
  <si>
    <t>Hämäkkiraportti (R4)</t>
  </si>
  <si>
    <t>Spider report (R4)</t>
  </si>
  <si>
    <t>Management activities report (R5)</t>
  </si>
  <si>
    <t>Yleiset hallintatoimet -raportti (R5)</t>
  </si>
  <si>
    <t>Kehityskohde</t>
  </si>
  <si>
    <t>Sisäinen viittaus</t>
  </si>
  <si>
    <t>Ulkoinen viittaus</t>
  </si>
  <si>
    <t>Prosessit</t>
  </si>
  <si>
    <t>Järjestelmät</t>
  </si>
  <si>
    <t>Vaikutus muihin organisaatioihin</t>
  </si>
  <si>
    <t>Toimittajat</t>
  </si>
  <si>
    <t>Sisäiset riippuvuudet</t>
  </si>
  <si>
    <t>KM100</t>
  </si>
  <si>
    <t>KM101</t>
  </si>
  <si>
    <t>KM102</t>
  </si>
  <si>
    <t>KM103</t>
  </si>
  <si>
    <t>KM104</t>
  </si>
  <si>
    <t>KM105</t>
  </si>
  <si>
    <t>KM110</t>
  </si>
  <si>
    <t>KM111</t>
  </si>
  <si>
    <t>KM112</t>
  </si>
  <si>
    <t>KM113</t>
  </si>
  <si>
    <t>KM114</t>
  </si>
  <si>
    <t>KM115</t>
  </si>
  <si>
    <t>KM116</t>
  </si>
  <si>
    <t>Processes</t>
  </si>
  <si>
    <t>Systems</t>
  </si>
  <si>
    <t>Impact on other organisations</t>
  </si>
  <si>
    <t>Suppliers</t>
  </si>
  <si>
    <t>Internal dependencies</t>
  </si>
  <si>
    <t>Date</t>
  </si>
  <si>
    <t>Participants</t>
  </si>
  <si>
    <t>Comments</t>
  </si>
  <si>
    <t>Internal reference</t>
  </si>
  <si>
    <t>External reference</t>
  </si>
  <si>
    <t>Development area</t>
  </si>
  <si>
    <t>PREVIOUS ASSESSMENT</t>
  </si>
  <si>
    <t>-</t>
  </si>
  <si>
    <t>Int_reference</t>
  </si>
  <si>
    <t>Ext_reference</t>
  </si>
  <si>
    <t>Development</t>
  </si>
  <si>
    <t>The purpose of network segmentation is to reduce the attack surface. Segmentation can be implemented on physical and/or logical layers. In an optimal situation, there is a well-defined reason for placing each device into the given segment.</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</si>
  <si>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</si>
  <si>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</si>
  <si>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Cybersecurity architecture protects the information assets. To protect the information, it must first be identified and classified. The protection controls and methods, such as encryption and key management, must be implemented and used systematically.</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</si>
  <si>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</si>
  <si>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</si>
  <si>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</si>
  <si>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Henkilöstön johtaminen ja kehittäminen (WORKFORCE)</t>
  </si>
  <si>
    <t>Identiteetin- ja pääsynhallinta (ACCESS)</t>
  </si>
  <si>
    <t>Kriittisten palveluiden suojaaminen (CRITICAL)</t>
  </si>
  <si>
    <t>Tapahtumien ja häiriöiden hallinta, toiminnan jatkuvuus (RESPONSE)</t>
  </si>
  <si>
    <t>Riskienhallinta (RISK)</t>
  </si>
  <si>
    <t>Tilannekuva (SITUATION)</t>
  </si>
  <si>
    <t>Uhkien ja haavoittuvuuksien hallinta (THREAT)</t>
  </si>
  <si>
    <t>Kyberturvallisuuden hallinta (PROGRAM)</t>
  </si>
  <si>
    <t>Uhkatietoa käsitellään noudattaen turvallisia ja mahdollisimman reaaliaikaisia menetelmiä, joilla varmistetaan uhkien nopea analysointi ja nopea puuttuminen.</t>
  </si>
  <si>
    <t>Kyberturvallisuusstrategia ja -prioriteetit on dokumentoitu. Strategia ja prioriteetit ovat linjassa organisaation yleisten strategisten tavoitteiden ja kriittiseen infrastruktuuriin kohdistuvien riskien kanssa.</t>
  </si>
  <si>
    <t>Kyberturvallisuusstrategia nimeää ne standardit ja ohjeet, joita tulee noudattaa.</t>
  </si>
  <si>
    <t>Kyberturvallisuuden hallinta perustuu kyberturvallisuusstrategiaan.</t>
  </si>
  <si>
    <t>Organisaation ylimmän johdon tuki kyberturvallisuuden hallinnalle  on näkyvää ja aktiivista.</t>
  </si>
  <si>
    <t>Vastuu kyberturvallisuuden hallinnasta on osoitettu organisaatiossa taholle, jolla on riittävät toimivaltuudet.</t>
  </si>
  <si>
    <t>Kyberturvallisuuden hallinnan sidosryhmät on tunnistettu ja osallistettu.</t>
  </si>
  <si>
    <t>Kyberturvallisuuden hallinnan toiminta tarkastetaan aika ajoin, jotta varmistetaan että toimet ovat linjassa kyberturvallisuusstrategian kanssa.</t>
  </si>
  <si>
    <t>Riippumaton taho tarkastaa organisaation kyberturvallisuuteen liittyvät toiminnat aika ajoin ja määriteltyjen tilanteiden kuten prosessimuutosten yhteydessä, jotta varmistutaan että toiminta on kyberturvallisuuspolitiikkojen ja -ohjeiden mukaista.</t>
  </si>
  <si>
    <t>Varaosia on saatavilla niitä tarvitseviin IT-laitteisiin (ja mahdollisiin OT-laitteisiin).</t>
  </si>
  <si>
    <t>Organisaation sidosryhmät soveltuvista operatiivisen toiminnan ja liiketoiminnan yksiköistä osallistuvat korkeamman prioriteetin kyberriskien analysointiin.</t>
  </si>
  <si>
    <t>Yritysjohto tarkastaa riskeihin reagoimisen keinot (kuten riskin pienentäminen, hyväksyminen, välttäminen tai siirtäminen) aika ajoin varmistuakseen niiden soveltuvuudesta.</t>
  </si>
  <si>
    <t>Toiminnon kyberturvallisuuden tilannekuvan viestimiseksi on määritetty menetelmät, joita päivitetään säännöllisesti.</t>
  </si>
  <si>
    <t>Kyberarkkitehtuuri on määritetty, dokumentoitu ja sitä ylläpidetään. Arkkitehtuuri kattaa organisaation IT/OT järjestelmät ja verkot ja se on linjassa järjestelmien, laitteiden, ohjelmistojen ja tietovarantojen kategorisoinnin ja priorisoinnin kanssa.</t>
  </si>
  <si>
    <t>Kuvaus arvioitavasta toiminnosta</t>
  </si>
  <si>
    <t>Toiminnon yhteiskunnallinen vaikuttavuus</t>
  </si>
  <si>
    <t>2 - Partially implemented</t>
  </si>
  <si>
    <t>3 - Mostly implemented</t>
  </si>
  <si>
    <t>4 - Fully implemented</t>
  </si>
  <si>
    <t>(FIN) Vastaus</t>
  </si>
  <si>
    <t>(FIN) Käytäntö</t>
  </si>
  <si>
    <t>(FIN) Kommentit</t>
  </si>
  <si>
    <t>(FIN) Sisäinen viittaus</t>
  </si>
  <si>
    <t>(FIN) Ulkoinen viittaus</t>
  </si>
  <si>
    <t>(FIN) Kehityskohde</t>
  </si>
  <si>
    <t>(ENG) Domain</t>
  </si>
  <si>
    <t>(ENG) Answer</t>
  </si>
  <si>
    <t>Kolmannet
osapuolet</t>
  </si>
  <si>
    <t>Tilanne
kuva</t>
  </si>
  <si>
    <t>Uhkat ja
haavoittuvuudet</t>
  </si>
  <si>
    <t>Omaisuuden
hallinta</t>
  </si>
  <si>
    <t>Tapahtumat
ja häiriöt</t>
  </si>
  <si>
    <t>Kyberturv.
hallinta</t>
  </si>
  <si>
    <t>Henkilöstön
hallinta</t>
  </si>
  <si>
    <t>Laitteiden yhteyksiä verkkoon hallitaan siten, että vain luvalliset laitteet voivat muodostaa yhteyden (esimerkiksi laitetason pääsynhallinta (NAC)).</t>
  </si>
  <si>
    <t>PR</t>
  </si>
  <si>
    <t>DE</t>
  </si>
  <si>
    <t>RS</t>
  </si>
  <si>
    <t>RC</t>
  </si>
  <si>
    <t>Kyberturvallisuuden nykytila</t>
  </si>
  <si>
    <t>Identify</t>
  </si>
  <si>
    <t>Protect</t>
  </si>
  <si>
    <t>Detect</t>
  </si>
  <si>
    <t>Respond</t>
  </si>
  <si>
    <t>Recover</t>
  </si>
  <si>
    <t>Viiteryhmä</t>
  </si>
  <si>
    <t>Organization has a very limited capability to identify and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incident taking place that seriously impacts the core processes of the organization.</t>
  </si>
  <si>
    <t>Kybermittariv2</t>
  </si>
  <si>
    <t>NISTv1.1</t>
  </si>
  <si>
    <t>PR.AC-1</t>
  </si>
  <si>
    <t>PR.AC-6</t>
  </si>
  <si>
    <t>PR.AC-7</t>
  </si>
  <si>
    <t>PR.AC-3</t>
  </si>
  <si>
    <t>PR.PT-2</t>
  </si>
  <si>
    <t>PR.PT-3</t>
  </si>
  <si>
    <t>PR.MA-2</t>
  </si>
  <si>
    <t>PR.AC-4</t>
  </si>
  <si>
    <t>DE.CM-3</t>
  </si>
  <si>
    <t>DE.CM-6</t>
  </si>
  <si>
    <t>DE.CM-7</t>
  </si>
  <si>
    <t>PR.AC-2</t>
  </si>
  <si>
    <t>DE.CM-2</t>
  </si>
  <si>
    <t>PR.PT-1</t>
  </si>
  <si>
    <t>ID.AM-6</t>
  </si>
  <si>
    <t>ID.GV-2</t>
  </si>
  <si>
    <t>PR.IP-8</t>
  </si>
  <si>
    <t>PR.AC-5</t>
  </si>
  <si>
    <t>PR.PT-4</t>
  </si>
  <si>
    <t>PR.DS-4</t>
  </si>
  <si>
    <t>PR.DS-5</t>
  </si>
  <si>
    <t>PR.PT-5</t>
  </si>
  <si>
    <t>DE.CM-1</t>
  </si>
  <si>
    <t>PR.DS-6</t>
  </si>
  <si>
    <t>PR.DS-8</t>
  </si>
  <si>
    <t>PR.DS-3</t>
  </si>
  <si>
    <t>DE.CM-4</t>
  </si>
  <si>
    <t>PR.DS-7</t>
  </si>
  <si>
    <t>ID.SC-2</t>
  </si>
  <si>
    <t>PR.IP-3</t>
  </si>
  <si>
    <t>DE.CM-5</t>
  </si>
  <si>
    <t>PR.DS-1</t>
  </si>
  <si>
    <t>PR.DS-2</t>
  </si>
  <si>
    <t>ID.AM-1</t>
  </si>
  <si>
    <t>ID.AM-2</t>
  </si>
  <si>
    <t>ID.AM-5</t>
  </si>
  <si>
    <t>ID.BE-4</t>
  </si>
  <si>
    <t>ID.RA-5</t>
  </si>
  <si>
    <t>PR.IP-6</t>
  </si>
  <si>
    <t>ID.AM-3</t>
  </si>
  <si>
    <t>PR.IP-1</t>
  </si>
  <si>
    <t>PR.MA-1</t>
  </si>
  <si>
    <t>PR.IP-2</t>
  </si>
  <si>
    <t>PR.IP-5</t>
  </si>
  <si>
    <t>ID.BE-2</t>
  </si>
  <si>
    <t>ID.AM-4</t>
  </si>
  <si>
    <t>ID.BE-1</t>
  </si>
  <si>
    <t>ID.GV-1</t>
  </si>
  <si>
    <t>ID.SC-1</t>
  </si>
  <si>
    <t>ID.BE-3</t>
  </si>
  <si>
    <t>PR.AT-4</t>
  </si>
  <si>
    <t>ID.GV-4</t>
  </si>
  <si>
    <t>ID.RM-1</t>
  </si>
  <si>
    <t>ID.BE-5</t>
  </si>
  <si>
    <t>PR.IP-9</t>
  </si>
  <si>
    <t>RS.RP-1</t>
  </si>
  <si>
    <t>RS.CO-1</t>
  </si>
  <si>
    <t>ID.SC-5</t>
  </si>
  <si>
    <t>RS.CO-4</t>
  </si>
  <si>
    <t>RS.CO-2</t>
  </si>
  <si>
    <t>RS.CO-3</t>
  </si>
  <si>
    <t>ID.GV-3</t>
  </si>
  <si>
    <t>DE.AE-3</t>
  </si>
  <si>
    <t>DE.DP-1</t>
  </si>
  <si>
    <t>DE.DP-4</t>
  </si>
  <si>
    <t>DE.DP-2</t>
  </si>
  <si>
    <t>RS.AN-1</t>
  </si>
  <si>
    <t>DE.AE-2</t>
  </si>
  <si>
    <t>DE.DP-5</t>
  </si>
  <si>
    <t>DE.AE-5</t>
  </si>
  <si>
    <t>RS.AN-4</t>
  </si>
  <si>
    <t>DE.AE-4</t>
  </si>
  <si>
    <t>RS.AN-2</t>
  </si>
  <si>
    <t>DE.DP-3</t>
  </si>
  <si>
    <t>RC.CO-3</t>
  </si>
  <si>
    <t>RC.RP-1</t>
  </si>
  <si>
    <t>RS.MI-1</t>
  </si>
  <si>
    <t>RS.MI-2</t>
  </si>
  <si>
    <t>RC.CO-2</t>
  </si>
  <si>
    <t>PR.IP-10</t>
  </si>
  <si>
    <t>RC.IM-1</t>
  </si>
  <si>
    <t>RC.IM-2</t>
  </si>
  <si>
    <t>RS.IM-1</t>
  </si>
  <si>
    <t>RS.IM-2</t>
  </si>
  <si>
    <t>RS.AN-3</t>
  </si>
  <si>
    <t>PR.IP-4</t>
  </si>
  <si>
    <t>RS.MI-3</t>
  </si>
  <si>
    <t>ID.RA-6</t>
  </si>
  <si>
    <t>DE.CM-8</t>
  </si>
  <si>
    <t>ID.RM-2</t>
  </si>
  <si>
    <t>DE.AE-1</t>
  </si>
  <si>
    <t>RS.CO-5</t>
  </si>
  <si>
    <t>ID.SC-3</t>
  </si>
  <si>
    <t>ID.SC-4</t>
  </si>
  <si>
    <t>ID.RA-1</t>
  </si>
  <si>
    <t>ID.RA-2</t>
  </si>
  <si>
    <t>RS.AN-5</t>
  </si>
  <si>
    <t>ID.RA-3</t>
  </si>
  <si>
    <t>ID.RA-4</t>
  </si>
  <si>
    <t>PR.IP-12</t>
  </si>
  <si>
    <t>PR.AT-2</t>
  </si>
  <si>
    <t>PR.AT-3</t>
  </si>
  <si>
    <t>PR.AT-5</t>
  </si>
  <si>
    <t>PR.IP-11</t>
  </si>
  <si>
    <t>PR.AT-1</t>
  </si>
  <si>
    <t>Result</t>
  </si>
  <si>
    <t>Kyberhäiriöiden reagoimisen varalle on luotu suunnitelma, jota pidetään yllä ja joka kattaa koko häiriönhallinnan elinkaaren.</t>
  </si>
  <si>
    <t>MGMT-ID</t>
  </si>
  <si>
    <t>MGMT-PR</t>
  </si>
  <si>
    <t>MGMT-DE</t>
  </si>
  <si>
    <t>MGMT-RS</t>
  </si>
  <si>
    <t>MGMT-RC</t>
  </si>
  <si>
    <t>Havainnointi</t>
  </si>
  <si>
    <t>MGMT-DE-0</t>
  </si>
  <si>
    <t>Organization has a very limited capability to detect cyber incidents as they happen. Typically this means that response activities are delayed significantly and happen after major breach and damage an attacker wants to cause will realize in full.</t>
  </si>
  <si>
    <t>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t>
  </si>
  <si>
    <t>MGMT-DE-1</t>
  </si>
  <si>
    <t xml:space="preserve">Organization has a basic capability to collect data, but the ability to detect cyber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</si>
  <si>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kyberturvallisuushäiriöitä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</si>
  <si>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MGMT-DE-2</t>
  </si>
  <si>
    <t>Organization has a good capability to collect and analyse the data needed to detect a cyber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</si>
  <si>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kyberturvallisuushäiriöiden tunnistamiseksi ajoissa ja riittävän tilannekuvan ylläpitämiseksi. Tyypillisesti tämä tarkoittaa, että on olemassa hyvä todennäköisyys torjuntatoimenpiteiden aloittamiselle häiriön ollessa käynnissä ja, että torjuntatoimenpiteet ovat oikein mitoitettuja. Tämän avulla organisaation on mahdollista rajoittaa haittoja vaikka niitä ei voitaisi kokonaan estää.</t>
  </si>
  <si>
    <t>MGMT-DE-3</t>
  </si>
  <si>
    <t>Organization has an excellent capability to collect, correlate and analyze relevant data. Typically this means that  cyber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</si>
  <si>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häiriöiden kannalta olennaisia tietoja. Tyypillisesti tämä tarkoittaa, että kyberturvallisuushäiriöt havainnoidaan ajoissa, mikä mahdollistaa nopean reagoinnin. Tämän seurauksena organisaatiolla on hyvät mahdollisuudet rajoittaa tai jopa estää vahingot samanaikaisesti kuin hyökkäys tapahtuu.</t>
  </si>
  <si>
    <t>Tunnistaminen</t>
  </si>
  <si>
    <t>MGMT-ID-0</t>
  </si>
  <si>
    <t>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</si>
  <si>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</si>
  <si>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</si>
  <si>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</si>
  <si>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</si>
  <si>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</si>
  <si>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</si>
  <si>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MGMT-ID-3</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</si>
  <si>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</si>
  <si>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kyberturvallisuushäiriöitä.</t>
  </si>
  <si>
    <t>Suojautuminen</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</si>
  <si>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</si>
  <si>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</si>
  <si>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</si>
  <si>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</si>
  <si>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</si>
  <si>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Organisaatiolla on peruskyvykkyys suojella sen kriittisiä palveluita kyberturvallisuusuhilta ja -häiriöiltä,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</si>
  <si>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</si>
  <si>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</si>
  <si>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Organisaatiolla on hyvä kyvykkyys suojata sen kriittisiä palveluita kyberturvallisuusuhilta ja -häiriöiltä, mutta joitain heikompia osa-alueita on. Tyypillisesti tämä tarkoittaa harmaita alueita tai puutteita suojauksessa, vaikka kaikki kriittiset palvelut ja tiedot ovatkin suojattuna. Tämä voi johtaa tarpeettoman suuriin kustannuksiin ja häiriöiden määrään.</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</si>
  <si>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</si>
  <si>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</si>
  <si>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Organisaatiolla on erinomainen kyvykkyys suojella sen kriittisiä palveluita kyberturvallisuusuhilta ja -häiriöiltä kaikilla sen merkittävillä liiketoiminta-alueilla. Tyypillisesti tämä tarkoittaa, että organisaatiossa tapahtuu vähemmän häiriöitä ja niiden sisäiset ja ulkoiset vaikutukset ovat pienempiä, joka johtaa pienempiin kustannuksiin ja mainehaittoihin.</t>
  </si>
  <si>
    <t>Palautuminen</t>
  </si>
  <si>
    <t>MGMT-RC-0</t>
  </si>
  <si>
    <t>Organization has a very limited capability to initiate and execute recovery from the damage caused by a cyber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</si>
  <si>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t>
  </si>
  <si>
    <t>MGMT-RC-1</t>
  </si>
  <si>
    <t>Organization has a basic capability to initiate and execute recovery from the damage caused by a cyber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</si>
  <si>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häiriön vaikutusten kohoamiseen, jotka olisi muuten voitu estää.</t>
  </si>
  <si>
    <t>MGMT-RC-2</t>
  </si>
  <si>
    <t>Organization has a good capability to initiate a timely and coordinated recovery from the damage caused by a cyber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</si>
  <si>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häiriön aiheuttamat vaikutukset hyväksytyllä tasolla, suurimmassa osassa tapauksia.</t>
  </si>
  <si>
    <t>MGMT-RC-3</t>
  </si>
  <si>
    <t>Organization has an excellent capability to initiate and execute recovery from the damage caused by a cyber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</si>
  <si>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häiriön aiheuttamien mainehaittojen, kustannusten ja muiden vaikutusten pienentämisen.</t>
  </si>
  <si>
    <t>Reagointi</t>
  </si>
  <si>
    <t>MGMT-RS-0</t>
  </si>
  <si>
    <t>Organization has a very limited capability to initiate a timely and coordinated response to a cyber incident. Typically this means that even if detection has been done early, it is still likely that the breach and damage cannot be prevented or limited.</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</si>
  <si>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</si>
  <si>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MGMT-RS-1</t>
  </si>
  <si>
    <t>Organization has a basic capability to initiate a timely response to a cyber incident, but the process may not be well coordinated and rehearsed. Typically this means that even if the detection has been done early, it is still likely that the response is not able to contain the breach and damage.</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</si>
  <si>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</si>
  <si>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MGMT-RS-2</t>
  </si>
  <si>
    <t>Organization has a good capability to initiate a timely and coordinated response to a cyber incident. Typically this means that if the detection has been done early, it is possible that the breach and damage can be contained at least to some extent.</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</si>
  <si>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</si>
  <si>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MGMT-RS-3</t>
  </si>
  <si>
    <t xml:space="preserve">Organization has an excellent capability to initiate a timely and coordinated response to a cyber incident. This typically means that if the detection is done early, it is likely that the breach and damage can be contained and in some cases even prevented. </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</si>
  <si>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</si>
  <si>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NIST Cybersecurity Framework Core</t>
  </si>
  <si>
    <t>Description</t>
  </si>
  <si>
    <t>Subcategory</t>
  </si>
  <si>
    <t>ID.AM</t>
  </si>
  <si>
    <t xml:space="preserve">Asset Management </t>
  </si>
  <si>
    <t>The data, personnel, devices, systems, and facilities that enable the organization to achieve business purposes are identified and managed consistent with their relative importance to organizational objectives and the organization’s risk strategy.</t>
  </si>
  <si>
    <t>Physical devices and systems within the organization are inventoried</t>
  </si>
  <si>
    <t/>
  </si>
  <si>
    <t>Software platforms and applications within the organization are inventoried</t>
  </si>
  <si>
    <t>Organizational communication and data flows are mapped</t>
  </si>
  <si>
    <t>External information systems are catalogued</t>
  </si>
  <si>
    <t xml:space="preserve">Resources (e.g., hardware, devices, data, time, personnel, and software) are prioritized based on their classification, criticality, and business value </t>
  </si>
  <si>
    <t>Cybersecurity roles and responsibilities for the entire workforce and third-party stakeholders (e.g., suppliers, customers, partners) are established</t>
  </si>
  <si>
    <t>ID.BE</t>
  </si>
  <si>
    <t xml:space="preserve">Business Environment </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</si>
  <si>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</si>
  <si>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</si>
  <si>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</si>
  <si>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</si>
  <si>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</si>
  <si>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</si>
  <si>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ID.GV</t>
  </si>
  <si>
    <t xml:space="preserve">Governance </t>
  </si>
  <si>
    <t>The policies, procedures, and processes to manage and monitor the organization’s regulatory, legal, risk, environmental, and operational requirements are understood and inform the management of cybersecurity risk.</t>
  </si>
  <si>
    <t>Organizational cybersecurity policy is established and communicated</t>
  </si>
  <si>
    <t>Cybersecurity roles and responsibilities are coordinated and aligned with internal roles and external partners</t>
  </si>
  <si>
    <t>Legal and regulatory requirements regarding cybersecurity, including privacy and civil liberties obligations, are understood and managed</t>
  </si>
  <si>
    <t>Governance and risk management processes address cybersecurity risks</t>
  </si>
  <si>
    <t>ID.RA</t>
  </si>
  <si>
    <t xml:space="preserve">Risk Assessment </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</si>
  <si>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</si>
  <si>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</si>
  <si>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</si>
  <si>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</si>
  <si>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</si>
  <si>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</si>
  <si>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</si>
  <si>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ID.RM</t>
  </si>
  <si>
    <t xml:space="preserve">Risk Management Strategy </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</si>
  <si>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</si>
  <si>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</si>
  <si>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</si>
  <si>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ID.RM-3</t>
  </si>
  <si>
    <t>The organization’s determination of risk tolerance is informed by its role in critical infrastructure and sector specific risk analysis</t>
  </si>
  <si>
    <t>ID.SC</t>
  </si>
  <si>
    <t xml:space="preserve">Supply Chain Risk Management </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</si>
  <si>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</si>
  <si>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</si>
  <si>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</si>
  <si>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</si>
  <si>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</si>
  <si>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Response and recovery planning and testing are conducted with suppliers and third-party providers</t>
  </si>
  <si>
    <t>PR.AC</t>
  </si>
  <si>
    <t xml:space="preserve">Identity Management, Authentication and Access Control </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</si>
  <si>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</si>
  <si>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</si>
  <si>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</si>
  <si>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</si>
  <si>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</si>
  <si>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Network integrity is protected (e.g., network segregation, network segmentation)</t>
  </si>
  <si>
    <t>Identities are proofed and bound to credentials and asserted in interactions</t>
  </si>
  <si>
    <t>Users, devices, and other assets are authenticated (e.g., single-factor, multi-factor) commensurate with the risk of the transaction (e.g., individuals’ security and privacy risks and other organizational risks)</t>
  </si>
  <si>
    <t>PR.AT</t>
  </si>
  <si>
    <t xml:space="preserve">Awareness and Training </t>
  </si>
  <si>
    <t>The organization’s personnel and partners are provided cybersecurity awareness education and are trained to perform their cybersecurity-related duties and responsibilities consistent with related policies, procedures, and agreements.</t>
  </si>
  <si>
    <t xml:space="preserve">All users are informed and trained </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</si>
  <si>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</si>
  <si>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</si>
  <si>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</si>
  <si>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</si>
  <si>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PR.DS</t>
  </si>
  <si>
    <t xml:space="preserve">Data Security </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</si>
  <si>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</si>
  <si>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</si>
  <si>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</si>
  <si>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</si>
  <si>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</si>
  <si>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</si>
  <si>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</si>
  <si>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</si>
  <si>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</si>
  <si>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PR.IP</t>
  </si>
  <si>
    <t xml:space="preserve">Information Protection Processes and Procedures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</si>
  <si>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</si>
  <si>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</si>
  <si>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A System Development Life Cycle to manage systems is implemented</t>
  </si>
  <si>
    <t>Configuration change control processes are in place</t>
  </si>
  <si>
    <t xml:space="preserve">Backups of information are conducted, maintained, and tested </t>
  </si>
  <si>
    <t>Policy and regulations regarding the physical operating environment for organizational assets are met</t>
  </si>
  <si>
    <t>Data is destroyed according to policy</t>
  </si>
  <si>
    <t>PR.IP-7</t>
  </si>
  <si>
    <t>Protection processes are improved</t>
  </si>
  <si>
    <t xml:space="preserve">Effectiveness of protection technologies is shared </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</si>
  <si>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</si>
  <si>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</si>
  <si>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</si>
  <si>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</si>
  <si>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PR.MA</t>
  </si>
  <si>
    <t xml:space="preserve">Maintenance </t>
  </si>
  <si>
    <t>Maintenance and repairs of industrial control and information system components are performed consistent with policies and procedures.</t>
  </si>
  <si>
    <t>Maintenance and repair of organizational assets are performed and logged, with approved and controlled tools</t>
  </si>
  <si>
    <t>Remote maintenance of organizational assets is approved, logged, and performed in a manner that prevents unauthorized access</t>
  </si>
  <si>
    <t>PR.PT</t>
  </si>
  <si>
    <t xml:space="preserve">Protective Technology </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</si>
  <si>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</si>
  <si>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</si>
  <si>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</si>
  <si>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</si>
  <si>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</si>
  <si>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Mechanisms (e.g., failsafe, load balancing, hot swap) are implemented to achieve resilience requirements in normal and adverse situations</t>
  </si>
  <si>
    <t>DE.AE</t>
  </si>
  <si>
    <t xml:space="preserve">Anomalies and Events </t>
  </si>
  <si>
    <t>Anomalous activity is detected and the potential impact of events is understood.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</si>
  <si>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</si>
  <si>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</si>
  <si>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</si>
  <si>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</si>
  <si>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</si>
  <si>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DE.CM</t>
  </si>
  <si>
    <t xml:space="preserve">Security Continuous Monitoring </t>
  </si>
  <si>
    <t>The information system and assets are monitored to identify cybersecurity events and verify the effectiveness of protective measures.</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</si>
  <si>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</si>
  <si>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</si>
  <si>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</si>
  <si>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</si>
  <si>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</si>
  <si>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</si>
  <si>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</si>
  <si>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</si>
  <si>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DE.DP</t>
  </si>
  <si>
    <t xml:space="preserve">Detection Processes </t>
  </si>
  <si>
    <t>Detection processes and procedures are maintained and tested to ensure awareness of anomalous events.</t>
  </si>
  <si>
    <t>Roles and responsibilities for detection are well defined to ensure accountability</t>
  </si>
  <si>
    <t>Detection activities comply with all applicable requirements</t>
  </si>
  <si>
    <t>Detection processes are tested</t>
  </si>
  <si>
    <t>Event detection information is communicated</t>
  </si>
  <si>
    <t>Detection processes are continuously improved</t>
  </si>
  <si>
    <t>RS.RP</t>
  </si>
  <si>
    <t xml:space="preserve">Response Planning </t>
  </si>
  <si>
    <t>Response processes and procedures are executed and maintained, to ensure response to detected cybersecurity incidents.</t>
  </si>
  <si>
    <t>Response plan is executed during or after an incident</t>
  </si>
  <si>
    <t>RS.CO</t>
  </si>
  <si>
    <t xml:space="preserve">Communications </t>
  </si>
  <si>
    <t>Response activities are coordinated with internal and external stakeholders (e.g. external support from law enforcement agencies).</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</si>
  <si>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</si>
  <si>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</si>
  <si>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</si>
  <si>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</si>
  <si>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 xml:space="preserve">Voluntary information sharing occurs with external stakeholders to achieve broader cybersecurity situational awareness </t>
  </si>
  <si>
    <t>RS.AN</t>
  </si>
  <si>
    <t xml:space="preserve">Analysis </t>
  </si>
  <si>
    <t>Analysis is conducted to ensure effective response and support recovery activities.</t>
  </si>
  <si>
    <t>Notifications from detection systems are investigated </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</si>
  <si>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</si>
  <si>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</si>
  <si>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</si>
  <si>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</si>
  <si>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RS.MI</t>
  </si>
  <si>
    <t xml:space="preserve">Mitigation </t>
  </si>
  <si>
    <t>Activities are performed to prevent expansion of an event, mitigate its effects, and resolve the incident.</t>
  </si>
  <si>
    <t>Incidents are contained</t>
  </si>
  <si>
    <t>Incidents are mitigated</t>
  </si>
  <si>
    <t>Newly identified vulnerabilities are mitigated or documented as accepted risks</t>
  </si>
  <si>
    <t>RS.IM</t>
  </si>
  <si>
    <t xml:space="preserve">Improvements </t>
  </si>
  <si>
    <t>Organizational response activities are improved by incorporating lessons learned from current and previous detection/response activities.</t>
  </si>
  <si>
    <t>Response plans incorporate lessons learned</t>
  </si>
  <si>
    <t>Response strategies are updated</t>
  </si>
  <si>
    <t>RC.RP</t>
  </si>
  <si>
    <t xml:space="preserve">Recovery Planning </t>
  </si>
  <si>
    <t>Recovery processes and procedures are executed and maintained to ensure restoration of systems or assets affected by cybersecurity incidents.</t>
  </si>
  <si>
    <t xml:space="preserve">Recovery plan is executed during or after a cybersecurity incident </t>
  </si>
  <si>
    <t>RC.IM</t>
  </si>
  <si>
    <t>Recovery planning and processes are improved by incorporating lessons learned into future activities.</t>
  </si>
  <si>
    <t>Recovery plans incorporate lessons learned</t>
  </si>
  <si>
    <t>Recovery strategies are updated</t>
  </si>
  <si>
    <t>RC.CO</t>
  </si>
  <si>
    <t>Restoration activities are coordinated with internal and external parties (e.g.  coordinating centers, Internet Service Providers, owners of attacking systems, victims, other CSIRTs, and vendors).</t>
  </si>
  <si>
    <t>RC.CO-1</t>
  </si>
  <si>
    <t>Public relations are managed</t>
  </si>
  <si>
    <t xml:space="preserve">Reputation is repaired after an incident </t>
  </si>
  <si>
    <t>Recovery activities are communicated to internal and external stakeholders as well as executive and management teams</t>
  </si>
  <si>
    <t>Total implemented</t>
  </si>
  <si>
    <t>#Implemented</t>
  </si>
  <si>
    <t>#Total</t>
  </si>
  <si>
    <t>KM75</t>
  </si>
  <si>
    <t>Cybersecurity areas of improvement</t>
  </si>
  <si>
    <t>KYBERMITTARI-37</t>
  </si>
  <si>
    <t>KYBERMITTARI-38</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</si>
  <si>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</si>
  <si>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Työntekijöille ja muille entiteeteille jaetaan pääsyvaltuustiedot (kuten salasanat, älykortit tai avaimet). Tasolla 1 tämän ei tarvitse olla systemaattista ja säännöllistä.</t>
  </si>
  <si>
    <t>Identiteetit poistetaan käytöstä, kun niitä ei enää tarvita. Tasolla 1 tämän ei tarvitse olla systemaattista ja säännöllistä.</t>
  </si>
  <si>
    <t>Loogisten käyttöoikeuksien hallinnan valvontakeinoja on käytössä. Tasolla 1 tämän ei tarvitse olla systemaattista ja säännöllistä.</t>
  </si>
  <si>
    <t>Käyttöoikeudet poistetaan, kun niitä ei enää tarvita. Tasolla 1 tämän ei tarvitse olla systemaattista ja säännöllistä.</t>
  </si>
  <si>
    <t>Fyysisen pääsynhallinnan valvontakeinoja on käytössä (kuten aitoja, lukkoja tai kylttejä). Tasolla 1 tämän ei tarvitse olla systemaattista ja säännöllistä.</t>
  </si>
  <si>
    <t>Pääsyoikeudet poistetaan, kun niitä ei enää tarvita. Tasolla 1 tämän ei tarvitse olla systemaattista ja säännöllistä.</t>
  </si>
  <si>
    <t>Pääsyoikeuksien käytöstä pidetään lokia. Tasolla 1 tämän ei tarvitse olla systemaattista ja säännöllistä.</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</si>
  <si>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</si>
  <si>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Tallennettua arkaluontoista tietoa ("data at rest") suojataan. Tasolla 1 tämän ei tarvitse olla systemaattista ja säännöllistä.</t>
  </si>
  <si>
    <t>Rekisteriin on kirjattu sellaiset toimintoon kuuluvat laitteet ja ohjelmistot, joita voitaisiin käyttää hyökkääjän tavoitteen saavuttamiseen.</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</si>
  <si>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</si>
  <si>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Rekisteriin on kirjattu sellaiset toimintoon kuuluvat tietovarannot, joita voitaisiin käyttää hyökkääjän tavoitteen saavuttamiseen.</t>
  </si>
  <si>
    <t>Laitteiden, ohjelmistojen ja tietovarantojen konfiguraatioista on luotu vakioidut perusasetukset. Tasolla 1 tämän ei tarvitse olla systemaattista ja säännöllistä.</t>
  </si>
  <si>
    <t>Organisaatiolla on kyberturvallisuusstrategia. Tasolla 1 sen kehittämisen ja ylläpidon ei tarvitse olla systemaattista ja säännöllistä.</t>
  </si>
  <si>
    <t>Organisaation ylin johto tukee kyberturvallisuuden hallintaa. Tasolla 1 tämän ei tarvitse olla systemaattista ja säännöllistä.</t>
  </si>
  <si>
    <t>Kyberhäiriöiden määrittämisestä on laadittu kriteeristö. Tasolla 1 tämän ei tarvitse olla systemaattista ja säännöllistä.</t>
  </si>
  <si>
    <t>Kyberhäiriöistä tuotetaan raportointia (esimerkiksi sisäisesti, CERT-FI tai soveltuville ISAC-ryhmille). Tasolla 1 tämän ei tarvitse olla systemaattista ja säännöllistä.</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</si>
  <si>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</si>
  <si>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Tiedoista on saatavilla varmuuskopiot, joita testaan. Tasolla 1 tämän ei tarvitse olla systemaattista ja säännöllistä.</t>
  </si>
  <si>
    <t>Varaosia tarvitsevat IT-laitteet (ja mahdolliset OT-laitteet) on tunnistettu. Tasolla 1 tämän ei tarvitse olla systemaattista ja säännöllistä.</t>
  </si>
  <si>
    <t>Kyberriskejä tunnistetaan. Tasolla 1 tämän ei tarvitse olla systemaattista ja säännöllistä.</t>
  </si>
  <si>
    <t>Kyberriskien tunnistamista tehdään aika ajoin ja määriteltyjen tilanteiden, kuten järjestelmämuutosten tai ulkoisten kybertapahtumien yhteydessä.</t>
  </si>
  <si>
    <t>Kyberriskit priorisoidaan niiden arvioidun vaikutuksen perusteella. Tasolla 1 tämän ei tarvitse olla systemaattista ja säännöllistä.</t>
  </si>
  <si>
    <t>Kyberturvallisuuden suojausmekanismien suunnittelun onnistumista ja niiden tosiasiallista vaikutusta kyberriskien pienenemiseen arvioidaan.</t>
  </si>
  <si>
    <t>Lokitietoa kerätään sellaisista laitteista, ohjelmistoista ja tietovarannoista, joita voitaisiin käyttää hyökkääjän tavoitteen saavuttamiseen.</t>
  </si>
  <si>
    <t>Lokitietojen tarkastelua ja muuta kyberturvallisuusvalvontaa tehdään. Tasolla 1 tämän ei tarvitse olla systemaattista ja säännöllistä.</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</si>
  <si>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</si>
  <si>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SITUATION-osion toimintaa ohjataan vaatimuksilla, jotka on asetettu organisaation johtotason politiikassa (tai vastaavassa ohjeistuksessa).</t>
  </si>
  <si>
    <t>Haavoittuvuuksien tunnistamisen tueksi on tunnistettu soveltuvia tietolähteitä. Tasolla 1 tämän ei tarvitse olla systemaattista ja säännöllistä.</t>
  </si>
  <si>
    <t>Haavoittuvuustietoa kerätään ja sitä tulkitaan toimintoa varten. Tasolla 1 tämän ei tarvitse olla systemaattista ja säännöllistä.</t>
  </si>
  <si>
    <t>Haavoittuvuusarviointeja suoritetaan. Tasolla 1 tämän ei tarvitse olla systemaattista ja säännöllistä.</t>
  </si>
  <si>
    <t>Toiminnon kannalta olennaisiin haavoittuvuuksiin puututaan (esimerkiksi lisäämällä valvontaa tai asentamalla korjauspäivityksiä). Tasolla 1 tämän ei tarvitse olla systemaattista ja säännöllistä.</t>
  </si>
  <si>
    <t>Uhkien tunnistamisen tueksi on tunnistettu soveltuvia tietolähteitä. Tasolla 1 tämän ei tarvitse olla systemaattista ja säännöllistä.</t>
  </si>
  <si>
    <t>Toiminnon kannalta olennaisiin uhkiin puututaan (esimerkiksi lisäämällä valvontaa tai seuraamalla uhkien kehitystä). Tasolla 1 tämän ei tarvitse olla systemaattista ja säännöllistä.</t>
  </si>
  <si>
    <t>Toiminnon kyberturvallisuuteen liittyvät vastuut on tunnistettu. Tasolla 1 tämän ei tarvitse olla systemaattista ja säännöllistä.</t>
  </si>
  <si>
    <t>Kyberturvallisuuteen liittyvät vastuut on osoitettu nimetyille henkilöille. Tasolla 1 tämän ei tarvitse olla systemaattista ja säännöllistä.</t>
  </si>
  <si>
    <t>Kyberturvallisuuskoulutusta on saatavana sellaisille työntekijöille, joille on osoitettu kyberturvallisuuteen liittyviä vastuita. Tasolla 1 tämän ei tarvitse olla systemaattista ja säännöllistä.</t>
  </si>
  <si>
    <t>Kyberturvallisuuteen liittyvien tietojen, taitojen ja kykyjen vaatimukset ja niissä mahdollisesti ilmenevät puutteet on tunnistettu sekä nykyiset että tulevat tarpeet huomioiden. Tasolla 1 tämän ei tarvitse olla systemaattista ja säännöllistä.</t>
  </si>
  <si>
    <t>Erilaisia tarkastuksia (esimerkiksi taustojen tarkistuksia, huumetestejä) suoritetaan uusia työntekijöitä palkatessa. Tasolla 1 tämän ei tarvitse olla systemaattista ja säännöllistä.</t>
  </si>
  <si>
    <t>Työsuhteen päättymiseen liittyvissä menettelyissä huomioidaan kyberturvallisuus. Tasolla 1 tämän ei tarvitse olla systemaattista ja säännöllistä.</t>
  </si>
  <si>
    <t>Henkilöstön kyberturvallisuustietoisuutta kohotetaan erilaisin toimin. Tasolla 1 tämän ei tarvitse olla systemaattista ja säännöllistä.</t>
  </si>
  <si>
    <t>NIST-ID</t>
  </si>
  <si>
    <t>NIST-PR</t>
  </si>
  <si>
    <t>NIST-RC</t>
  </si>
  <si>
    <t>NIST-RS</t>
  </si>
  <si>
    <t>NIST-DE</t>
  </si>
  <si>
    <t>C_version</t>
  </si>
  <si>
    <t>C_date</t>
  </si>
  <si>
    <t>KYBERMITTARI-18</t>
  </si>
  <si>
    <t>Päiväys</t>
  </si>
  <si>
    <t>Yleiset hallintatoimet</t>
  </si>
  <si>
    <t>KM76</t>
  </si>
  <si>
    <t>Management activities</t>
  </si>
  <si>
    <t>a</t>
  </si>
  <si>
    <t>b</t>
  </si>
  <si>
    <t>c</t>
  </si>
  <si>
    <t>d</t>
  </si>
  <si>
    <t>e</t>
  </si>
  <si>
    <t>f</t>
  </si>
  <si>
    <t>KM77</t>
  </si>
  <si>
    <t>Domain specific maturity report</t>
  </si>
  <si>
    <t>Systemic impact on national or regional level</t>
  </si>
  <si>
    <t>Uhkaskenaarion kuvaus (worst-case)</t>
  </si>
  <si>
    <t>KYBERMITTARI-39</t>
  </si>
  <si>
    <t>KYBERMITTARI-40</t>
  </si>
  <si>
    <t>Skenaarion yhteiskunnallinen vaikuttavuus</t>
  </si>
  <si>
    <t>Description of a credible worst-case scenario</t>
  </si>
  <si>
    <t xml:space="preserve">Impact of the scenario on national or regional level   </t>
  </si>
  <si>
    <t>ALL</t>
  </si>
  <si>
    <t>Amount of practices</t>
  </si>
  <si>
    <t>All</t>
  </si>
  <si>
    <t>MIL2</t>
  </si>
  <si>
    <t>Osio</t>
  </si>
  <si>
    <t xml:space="preserve">Yleisiä hallintatoimia -osan järjestysnumero </t>
  </si>
  <si>
    <t>Selite:</t>
  </si>
  <si>
    <t>Vinkit</t>
  </si>
  <si>
    <t>KYBERMITTARI-41</t>
  </si>
  <si>
    <t>KYBERMITTARI-19</t>
  </si>
  <si>
    <t>Viimeinen muutos</t>
  </si>
  <si>
    <t>Start date</t>
  </si>
  <si>
    <t>Aloitus pvm.</t>
  </si>
  <si>
    <t>Latest change</t>
  </si>
  <si>
    <t>KYBERMITTARI-42</t>
  </si>
  <si>
    <t>Next review</t>
  </si>
  <si>
    <t>Seuraava arviointi</t>
  </si>
  <si>
    <t>KYBERMITTARI-43</t>
  </si>
  <si>
    <t>KYBERMITTARI-44</t>
  </si>
  <si>
    <t>KYBERMITTARI-45</t>
  </si>
  <si>
    <t>Change</t>
  </si>
  <si>
    <t>3
&gt; 90%</t>
  </si>
  <si>
    <t>2
&gt; 60%</t>
  </si>
  <si>
    <t>1
&gt; 30%</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</si>
  <si>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</si>
  <si>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Kyberriskienhallinnan suunnitelma</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</si>
  <si>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</si>
  <si>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Käyttöoikeudet tarkastetaan ja päivitetään aika ajoin ja määriteltyjen tilanteiden kuten organisaatiorakenteen muuttuessa tai tilapäisen käyttöoikeuksien korotuksen jälkeen.</t>
  </si>
  <si>
    <t>ACCESS-osion toimintaa ohjataan vaatimuksilla, jotka on asetettu organisaation johtotason politiikassa (tai vastaavassa ohjeistuksessa).</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</si>
  <si>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</si>
  <si>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Verkkoliikennettä ja sähköpostia valvotaan, analysoidaan ja hallitaan (esimerkiksi estämällä haitallisia linkkejä tai epäilyttäviä latauksia, sähköpostin autentikointi tai IP-osoitteiden estäminen).</t>
  </si>
  <si>
    <t>Laiteohjelmistojen (firmware) konfiguraatioita ja muutoksia hallitaan koko laitteen eliniän ajan.</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</si>
  <si>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</si>
  <si>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ARCHITECTURE-osion toimintaa ohjataan vaatimuksilla, jotka on asetettu organisaation johtotason politiikassa (tai vastaavassa ohjeistuksessa).</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</si>
  <si>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</si>
  <si>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Muutoksenhallinnan lokit sisältävät tietoa sellaisista tehdyistä muutoksista, jotka vaikuttavat kyseisen laitteen, ohjelmiston tai tietovarannon kyberturvallisuusvaatimuksiin.</t>
  </si>
  <si>
    <t>ASSET-osion toimintaa ohjataan vaatimuksilla, jotka on asetettu organisaation johtotason politiikassa (tai vastaavassa ohjeistuksessa).</t>
  </si>
  <si>
    <t>PROGRAM-osion toimintaa ohjataan vaatimuksilla, jotka on asetettu organisaation johtotason politiikassa (tai vastaavassa ohjeistuksessa).</t>
  </si>
  <si>
    <t>RESPONSE-osion toimintaa ohjataan vaatimuksilla, jotka on asetettu organisaation johtotason politiikassa (tai vastaavassa ohjeistuksessa).</t>
  </si>
  <si>
    <t>RISK-osion toimintaa ohjataan vaatimuksilla, jotka on asetettu organisaation johtotason politiikassa (tai vastaavassa ohjeistuksessa).</t>
  </si>
  <si>
    <t>THREAT-osion toimintaa ohjataan vaatimuksilla, jotka on asetettu organisaation johtotason politiikassa (tai vastaavassa ohjeistuksessa).</t>
  </si>
  <si>
    <t>WORKFORCE-osion toimintaa ohjataan vaatimuksilla, jotka on asetettu organisaation johtotason politiikassa (tai vastaavassa ohjeistuksessa).</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</si>
  <si>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</si>
  <si>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Kyberturvallisuusstrategia määrittää organisaation kyberturvallisuuden hallintamallin ("governance") ja valvontatoimet.</t>
  </si>
  <si>
    <t>Kyberturvallisuusstrategia määrittelee kyberturvallisuuden hallinta- ja organisaatiorakenteen.</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</si>
  <si>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</si>
  <si>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Kybertapahtumat analysoidaan siten, että se tukee mahdollisten kyberhäiriöiden määrittämistä. Tasolla 1 tämän ei tarvitse olla systemaattista ja säännöllistä.</t>
  </si>
  <si>
    <t>Kyberhäiriöiden määrittämisen kriteeristö on linjassa kyberriskien priorisoinnin kriteereiden kanssa [kts. RISK-3b].</t>
  </si>
  <si>
    <t>Uhkatietoa uhkien hallinnan osiosta [kts. THREAT] käytetään uusien kyberriskien tunnistamiseen ja olemassa olevien kyberriskien päivittämiseen.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</si>
  <si>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</si>
  <si>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Riskeihin reagoimisen keinot valitaan ja toteutetaan noudattaen määriteltyjä menetelmiä, jotka pohjautuvat analysointiin ja priorisointiin.</t>
  </si>
  <si>
    <t>Tuotteiden ja palveluiden valintaan vaikuttaa arvio niiden kyberkyvykkyyksistä. Tasolla 1 tämän ei tarvitse olla systemaattista ja säännöllistä.</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</si>
  <si>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</si>
  <si>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</si>
  <si>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Haavoittuvuusarvioinnit suorittaa toiminnon operatiivisesta toiminnasta irrallaan oleva riippumaton taho.</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</si>
  <si>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</si>
  <si>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Kyberturvallisuuteen liittyvät vastuut on osoitettu nimetyille rooleille (mukaan lukien mahdolliset ulkoiset palveluntarjoajat).</t>
  </si>
  <si>
    <t>Osoitettuja kyberturvallisuuden vastuita hallitaan siten, että varmistutaan niiden riittävyydestä ja riittävästä päällekkäisyydestä (mukaan lukien henkilöstönvaihdosten suunnittelu).</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</si>
  <si>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</si>
  <si>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Jokaista työtehtävää varten teetetään soveltuvat tarkistukset, jotka ovat suhteessa työtehtävän riskeihin (mukaan lukien työntekijät, toimittajat ja alihankkijat).</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</si>
  <si>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</si>
  <si>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</si>
  <si>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Kyberarkkitehtuurille on määritetty hallintamalli (ref. "governance"), jota ylläpidetään (esim. arkkitehtuurin arviointitoimikunta). Hallintamalli kattaa vaatimukset säännöllisistä arkkitehtuurikatselmoinneista sekä päätöksenteon poikkeusprosessille.</t>
  </si>
  <si>
    <t>Kyberarkkitehtuurin kehittämissuunnitelma tai strategia ja kyberarkkitehtuurin hallinta ovat linjassa organisaation yritysarkkitehtuuristrategian (myös "kokonaisarkkitehtuuri") ja yritysarkkitehtuurin hallinnan kanssa.</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</si>
  <si>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</si>
  <si>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Organisaation kyberriskienhallintaa ohjaa suunnitelma (esimerkiksi strategia tai vastaava johtotason politiikka). Tasolla 1 sen kehittämisen ja ylläpidon ei tarvitse olla systemaattista ja säännöllistä.</t>
  </si>
  <si>
    <t>Kyberriskienhallintaa varten on määritetty hallintamalli (ref. "governance"), jota ylläpidetään säännöllisesti. Hallintamalliin kuuluvat mm. riskienhallinnan vastuut, velvollisuudet ja päätöksentekorakenteet.</t>
  </si>
  <si>
    <t>Kumppaniverkoston tunnistaminen ja priorisointi</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</si>
  <si>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</si>
  <si>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Kumppaniverkoston toimijat on priorisoitu käyttäen määriteltyjä kriteerejä (esimerkiksi tärkeys toiminnolle, mahdollisen loukkauksen tai häiriötilanteen vaikutus, mahdollisuus neuvotella sopimuksiin asetettavista kyberturvallisuusvaatimuksista).</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</si>
  <si>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</si>
  <si>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Toimittajien ja muiden kumppaniverkoston toimijoiden priorisointia päivitetään aika ajoin ja määriteltyjen tilanteiden kuten järjestelmämuutosten tai ulkoisten tapahtumien yhteydessä.</t>
  </si>
  <si>
    <t>Kumppaniverkostoon liittyvien riskien hallinta</t>
  </si>
  <si>
    <t>Toimittajien ja muiden kumppaniverkoston toimijoiden valintaan vaikuttaa arvio niiden kyberturvallisuuskelpoisuuksista. Tasolla 1 tämän ei tarvitse olla systemaattista ja säännöllistä.</t>
  </si>
  <si>
    <t>Määriteltyjä menetelmiä noudatetaan, kun tunnistetaan kyberturvallisuusvaatimuksia ja toteutetaan niihin liittyviä suojaustoimia, joilla suojaudutaan toimittajista ja kumppaniverkoston toimijoista aiheutuvilta riskeiltä.</t>
  </si>
  <si>
    <t>Määriteltyjä menetelmiä noudatetaan, kun arvioidaan ja valitaan toimittajia ja muita kumppaniverkoston toimijoita.</t>
  </si>
  <si>
    <t>Tiukempia suojaustoimia toteutetaan korkean prioriteetin toimittajille ja muille kumppaniverkoston toimijoille.</t>
  </si>
  <si>
    <t>Toimittajat ja muut kumppaniverkoston toimijat osoittavat aika ajoin kykynsä täyttää asetetut kyberturvallisuusvaatimukset.</t>
  </si>
  <si>
    <t>Toimittajille ja muille kumppaniverkoston toimijoille asetetut kyberturvallisuusvaatimukset sisältävät soveltuvin osin vaatimuksia turvallisesta ohjelmisto- ja tuotekehityksestä.</t>
  </si>
  <si>
    <t>Koulutustoiminnan tehokkuutta arvioidaan aika ajoin ja koulutusta kehitetään tarpeen mukaan.</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</si>
  <si>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</si>
  <si>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KM80</t>
  </si>
  <si>
    <t>KM81</t>
  </si>
  <si>
    <t>Importing previous results and reference data</t>
  </si>
  <si>
    <t>Arviointitulosten ja vertailutiedon tuonti</t>
  </si>
  <si>
    <t>Previous results (for reporting)</t>
  </si>
  <si>
    <t>Reference results (for reporting)</t>
  </si>
  <si>
    <t>Vertailutulokset (raporteille)</t>
  </si>
  <si>
    <t>Aiemmat arviointitulokset (raporteille)</t>
  </si>
  <si>
    <t>Previous results (for assessment sheets)</t>
  </si>
  <si>
    <t>Aiemmat arviointitulokset (arviointivälilehdille)</t>
  </si>
  <si>
    <t>KM82</t>
  </si>
  <si>
    <t>Values entered into this table are presented on the various assessment sheets next to the current assessment (columns O-S).</t>
  </si>
  <si>
    <t>Tähän syötetyt tulokset näkyvät Kybermittarin arviointiosioissa nykyisten arvioiden vieressä (sarakkeissa O-S).</t>
  </si>
  <si>
    <t>Manufacturing</t>
  </si>
  <si>
    <t>Teollisuustuotanto</t>
  </si>
  <si>
    <t>Industriproduktion</t>
  </si>
  <si>
    <t>Education</t>
  </si>
  <si>
    <t>Utbildning</t>
  </si>
  <si>
    <t>Julkinen hallinto</t>
  </si>
  <si>
    <t>Muu</t>
  </si>
  <si>
    <t>Other</t>
  </si>
  <si>
    <t>Majoitus- ja ravitsemistoiminta</t>
  </si>
  <si>
    <t>Kaivostoiminta ja louhinta</t>
  </si>
  <si>
    <t>Övrig</t>
  </si>
  <si>
    <t>Offentlig förvaltning</t>
  </si>
  <si>
    <t>Administration of the State and the economic and social policy of the community</t>
  </si>
  <si>
    <t>Identitetshantering och åtkomstkontroll (ACCESS)</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</si>
  <si>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</si>
  <si>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Skapande och hantering av identitet</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</si>
  <si>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</si>
  <si>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</si>
  <si>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Uppgifter för åtkomstbehörigheter (såsom lösenord, smartkort eller nycklar) delas ut till arbetstagare och andra entiteter. På nivå 1 behöver detta inte vara systematiskt och regelbundet.</t>
  </si>
  <si>
    <t>Identiteter tas ur bruk när de inte längre behövs. På nivå 1 behöver detta inte vara systematiskt och regelbundet.</t>
  </si>
  <si>
    <t>Identiteterna tas ur bruk inom ramen för maximala tidsfrister som definieras av organisationen, när de inte längre behövs.</t>
  </si>
  <si>
    <t>Starkare identifiering eller flerfaktorsautentisering krävs för användnings- och åtkomsträttigheter som är förknippade med högre risk (exempelvis hanterings- och administratörskoder, delade koder eller användning av distansförbindelser).</t>
  </si>
  <si>
    <t>Hantering av logiska användningsrättigheter</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</si>
  <si>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</si>
  <si>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Metoder för tillsyn av hanteringen av logiska användningsrättigheter används. På nivå 1 behöver detta inte vara systematiskt och regelbundet.</t>
  </si>
  <si>
    <t>Användningsrättigheter tas bort när de inte längre behövs. På nivå 1 behöver detta inte vara systematiskt och regelbundet.</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</si>
  <si>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</si>
  <si>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I kraven på användningsrättigheter har man beaktat principen om minsta befogenheter (ref. ”principle of least privilege”).</t>
  </si>
  <si>
    <t>I kraven på användningsrättigheter har man beaktat separation av uppgifter (ref. ”separation of duties”).</t>
  </si>
  <si>
    <t>Begäranden om användningsrättigheter granskas och godkänns av ägaren till utrymmet, apparaten, programvaran eller informationsresursen i fråga.</t>
  </si>
  <si>
    <t>Användningsrättigheter som är förknippade med högre risk granskas grundligare och användningen av dem övervakas striktare.</t>
  </si>
  <si>
    <t>Användningsrättigheterna granskas och uppdateras då och då samt i specifika situationer såsom när organisationsstrukturen förändras eller efter en tillfällig förhöjning av användningsrättigheterna.</t>
  </si>
  <si>
    <t>Försök att logga in och upprätta kontakt följs upp, och avvikelser som upptäcks i dem fungerar som indikatorer för cybersäkerhetshändelser.</t>
  </si>
  <si>
    <t>Fysisk åtkomstkontroll</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</si>
  <si>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</si>
  <si>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Metoder för övervakning av den fysiska åtkomstkontrollen används (såsom stängsel, lås eller skyltar). På nivå 1 behöver detta inte vara systematiskt och regelbundet.</t>
  </si>
  <si>
    <t>Åtkomsträttigheter tas bort när de inte längre behövs. På nivå 1 behöver detta inte vara systematiskt och regelbundet.</t>
  </si>
  <si>
    <t>Man för loggar över användningen av åtkomsträttigheter. På nivå 1 behöver detta inte vara systematiskt och regelbundet.</t>
  </si>
  <si>
    <t>Närmare krav har ställts upp för åtkomsträttigheterna (exempelvis regler för vem som kan beviljas åtkomst, hur åtkomsträttigheter beviljas eller inom vilka gränser åtkomst tillåts).</t>
  </si>
  <si>
    <t>I kraven på åtkomsträttigheter har man beaktat principen om minsta befogenheter (ref. ”principle of least privilege”).</t>
  </si>
  <si>
    <t>Begäranden om åtkomsträttigheter granskas och godkänns av ägaren till utrymmet, apparaten, programvaran eller informationsresursen i fråga.</t>
  </si>
  <si>
    <t>Åtkomsträttigheter som är förknippade med högre risk granskas grundligare och användningen av dem övervakas striktare.</t>
  </si>
  <si>
    <t>Åtkomsträttigheterna granskas och uppdateras då och då.</t>
  </si>
  <si>
    <t>Användningen av åtkomsträttigheter följs upp och man strävar efter att identifiera eventuella cybersäkerhetshändelser utifrån den.</t>
  </si>
  <si>
    <t>Hanteringsåtgärder</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</si>
  <si>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</si>
  <si>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För verksamheten inom ämnesområdet ACCESS har man fastställt dokumenterade rutiner, som följs och uppdateras regelbundet.</t>
  </si>
  <si>
    <t>Det finns tillräckligt med resurser för verksamheten inom ämnesområdet ACCESS (personal, finansiering och verktyg).</t>
  </si>
  <si>
    <t>Verksamheten inom ämnesområdet ACCESS styrs genom krav som ställts upp i policyn på organisationens ledningsnivå (eller i motsvarande anvisningar).</t>
  </si>
  <si>
    <t>De arbetstagare som utför verksamheten inom ämnesområdet ACCESS har tillräckliga kunskaper och färdigheter för sina uppgifter.</t>
  </si>
  <si>
    <t>De ansvar, kontoskyldigheter och behörigheter som krävs för verksamheten inom ämnesområdet ACCESS har delats ut till lämpliga arbetstagare.</t>
  </si>
  <si>
    <t>Effektiviteten hos verksamheten inom ämnesområdet ACCESS utvärderas och följs upp.</t>
  </si>
  <si>
    <t>Cybersäkerhetsarkitektur (ARCHITECTURE)</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</si>
  <si>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</si>
  <si>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Utveckling av cyberarkitekturen</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</si>
  <si>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</si>
  <si>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</si>
  <si>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</si>
  <si>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Cyberarkitekturen har definierats och dokumenteras, och den upprätthålls. Arkitekturen omfattar organisationens IT/OT-system och nätverk samt är i linje med kategoriseringen och prioriteringen av system, apparater, programvara och informationsresurser.</t>
  </si>
  <si>
    <t>För cyberarkitekturen har fastställts en administrationsmodell (ref. ”governance”) som upprätthålls (t.ex. kommitté för utvärdering av arkitekturen). Administrationsmodellen kan täcka kraven på arkitekturgranskningar samt beslutsfattandet för avvikelseprocesser.</t>
  </si>
  <si>
    <t>Cyberarkitekturen definierar cybersäkerhetskraven för de apparater, programvaror och informationsresurser som är viktiga för verksamheten.</t>
  </si>
  <si>
    <t>Skyddsmekanismerna för cybersäkerheten har valts ut och förverkligats så att cybersäkerhetskraven uppfylls.</t>
  </si>
  <si>
    <t>Utvecklingsplanen eller strategin för cyberarkitekturen samt hanteringen av cyberarkitekturen är i linje med organisationens företagsarkitekturstrategi (även ”helhetsarkitektur”) och med hanteringen av företagsarkitekturen.</t>
  </si>
  <si>
    <t>Organisationens systems och nätverks kravenlighet i förhållande till cyberarkitekturen bedöms då och då samt i specifika situationer såsom i samband med systemförändringar eller externa händelser.</t>
  </si>
  <si>
    <t>Skydd av datanäten som en del av cybersäkerhetsarkitekturen</t>
  </si>
  <si>
    <t>Nätsegmentering genomförs på fysisk eller logisk nivå och syftet är att minska angreppsytan. I en optimal situation har varje enhet i ett visst nätsegment ett giltigt existensberättigande i det aktuella segmentet.</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</si>
  <si>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</si>
  <si>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Apparater, programvaror och informationsresurser som är viktiga för funktionen har segmenterats logiskt eller fysiskt i olika säkerhetszoner utifrån de cybersäkerhetskrav som ställts upp för dem [se ASSET-1a, ASSET-2a].</t>
  </si>
  <si>
    <t>I skyddet av nätverk beaktar man principerna om minsta behörigheter och minsta funktionalitet.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</si>
  <si>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</si>
  <si>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Nätverkstrafiken och e-posten övervakas, analyseras och hanteras (exempelvis genom att förhindra skadliga länkar eller misstänkta nedladdningar, genom autentisering av e-post eller genom att förhindra IP-adresser).</t>
  </si>
  <si>
    <t>Alla apparater, programvaror och informationsresurser har segmenterats i säkerhetszoner utifrån de cybersäkerhetskrav som ställts upp för dem.</t>
  </si>
  <si>
    <t>Eventuella OT-nätverk är funktionellt separerade från IT-nätverken så att OT-funktionerna inte störs om det uppstår fel på IT-systemen. [Tolkningsanvisning: om det inte finns OT-system eller motsvarande, ange praxisen som ”helt genomförd”]</t>
  </si>
  <si>
    <t>Cyberarkitekturen ger möjlighet att skilja förorenade apparater, programvaror och informationsresurser från andra.</t>
  </si>
  <si>
    <t>Apparaternas och programvarans säkerhet som en del av cybersäkerhetsarkitekturen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</si>
  <si>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</si>
  <si>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Principen om minsta användningsrättigheter har tillämpats (exempelvis genom att begränsa rättigheterna till hanterings- och administratörskoder).</t>
  </si>
  <si>
    <t>Principen om minsta funktionalitet har tillämpats (exempelvis genom att begränsa de tjänster, program och portar som kan användas eller antalet apparater som kan anslutas).</t>
  </si>
  <si>
    <t>Datasäkerhetsprogramvara krävs till tillämpliga delar som en del av apparaternas konfiguration (exempelvis säkerhets- och observationslösningar för terminaler eller terminalspecifika brandväggslösningar).</t>
  </si>
  <si>
    <t>Flyttbara och löstagbara minnesanordningar övervakas (exempelvis genom att begränsa användningen av USB-minnen eller externa hårddiskar).</t>
  </si>
  <si>
    <t>Konfigurationer och förändringar i apparaternas programvara (firmware) hanteras under apparatens hela livstid.</t>
  </si>
  <si>
    <t>Använd applikationssäkerhet som en del i cybersäkerhetsarkitekturen</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</si>
  <si>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</si>
  <si>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Programvara och applikationer som utvecklas internt och som är avsedda att tas i bruk i utrustning eller programvara med hög prioritet [se ASSET-1d] utvecklas enligt principerna för säker applikationsutveckling.</t>
  </si>
  <si>
    <t>I valet av programvara och applikationer som anskaffas till utrustning eller programvara med hög prioritet [se ASSET-1d] beaktas om leverantören följer principerna för säker applikationsutveckling.</t>
  </si>
  <si>
    <t>Alla programvaror och applikationer som utvecklas internt utvecklas enligt principerna för säker applikationsutveckling.</t>
  </si>
  <si>
    <t>I val av programvara och applikationer som ska anskaffas beaktar man alltid om leverantören följer principerna för säker applikationsutveckling.</t>
  </si>
  <si>
    <t>I arkitekturgranskningsprocessen bedömer man nya och uppdaterade programvarors och applikationers säkerhet innan de tas in i produktionen.</t>
  </si>
  <si>
    <t>Äktheten hos programvaror och apparatprogramvaror (firmware) säkerställs innan de tas i bruk.</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</si>
  <si>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</si>
  <si>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Dataskydd som en del av cybersäkerhetsarkitekturen</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</si>
  <si>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</si>
  <si>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Sparade känsliga uppgifter (”data at rest”) skyddas. På nivå 1 behöver detta inte vara systematiskt och regelbundet.</t>
  </si>
  <si>
    <t>En infrastruktur för hantering av nycklar (exempelvis skapande, förvaring, förstöring, uppdatering och upphävning av nycklar) används som stöd för krypteringsmetoderna.</t>
  </si>
  <si>
    <t>Man använder skyddsmekanismer för att begränsa risken för att information stjäls (exempelvis verktyg som förhindrar radering av information).</t>
  </si>
  <si>
    <t>Till cyberarkitekturen hör skyddsmekanismer (exempelvis kryptering av apparaters hårddiskar) för information som sparats på apparater som kan tappas bort eller bli stulna.</t>
  </si>
  <si>
    <t>Cyberarkitekturen omfattar skyddsmetoder för applikationer, apparaters programvara (firmware) och olovliga ändringar av information.</t>
  </si>
  <si>
    <t>För verksamheten inom ämnesområdet ARCHITECTURE har man fastställt dokumenterade rutiner, som följs och uppdateras regelbundet.</t>
  </si>
  <si>
    <t>Det finns tillräckligt med resurser för verksamheten inom ämnesområdet ARCHITECTURE (personal, finansiering och verktyg).</t>
  </si>
  <si>
    <t>Verksamheten inom ämnesområdet ARCHITECTURE styrs genom krav som ställts upp i policyn på organisationens ledningsnivå (eller i motsvarande anvisningar).</t>
  </si>
  <si>
    <t>De arbetstagare som utför verksamheten inom ämnesområdet ARCHITECTURE har tillräckliga kunskaper och färdigheter för sina uppgifter.</t>
  </si>
  <si>
    <t>De ansvar, kontoskyldigheter och behörigheter som krävs för verksamheten inom ämnesområdet ARCHITECTURE har delats ut till lämpliga arbetstagare.</t>
  </si>
  <si>
    <t>Effektiviteten hos verksamheten inom ämnesområdet ARCHITECTURE utvärderas och följs upp.</t>
  </si>
  <si>
    <t>Hantering av egendom, förändringar och konfiguration (ASSET)</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</si>
  <si>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</si>
  <si>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Hantering av apparater och programvara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</si>
  <si>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</si>
  <si>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Det finns ett register över apparater och programvaror som är viktiga för funktionen. (Beakta också apparater och programvaror i eventuella OT-miljöer.) På nivå 1 behöver upprätthållandet av registret inte vara systematiskt och regelbundet.</t>
  </si>
  <si>
    <t>I registret finns sådana apparater och programvaror som hör till funktionen, som skulle kunna användas för att uppnå en angripares mål.</t>
  </si>
  <si>
    <t>I registret anges sådana egenskaper hos apparaterna och programvaran som stöder organisationens cyberverksamhet (exempelvis apparatens eller programvarans plats, prioritet, operativsystem eller firmware-version).</t>
  </si>
  <si>
    <t>De apparater och programvaror som är registrerade i registret har prioriterats enligt fastställda prioriteringskriterier, som omfattar en bedömning av hur viktig apparaten eller programvaran är för funktionen.</t>
  </si>
  <si>
    <t>Registret är aktuellt (dvs. det uppdateras då och då samt i samband med specifika situationer såsom systemförändringar).</t>
  </si>
  <si>
    <t>Hantering av informationsresurser</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</si>
  <si>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</si>
  <si>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</si>
  <si>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I registret finns sådana informationsresurser som hör till funktionen, som skulle kunna användas för att uppnå en angripares mål.</t>
  </si>
  <si>
    <t>De informationsresurser som är registrerade i registret har prioriterats enligt fastställda prioriteringskriterier, som omfattar en bedömning av hur viktig informationsresursen är för funktionen.</t>
  </si>
  <si>
    <t>Hantering av konfiguration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</si>
  <si>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</si>
  <si>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Grundläggande standardinställningar har skapats för apparaters, programvarors och informationsresursers konfigurationer. På nivå 1 behöver detta inte vara systematiskt och regelbundet.</t>
  </si>
  <si>
    <t>Grundläggande standardinställningar används när man skapar en ny konfiguration för en apparat, programvara eller informationsresurs eller återställer en gammal konfiguration.</t>
  </si>
  <si>
    <t>Konfigurationernas enhetlighet med de grundläggande standardinställningarna följs regelbundet under hela apparatens, programvarans eller informationsresursens livscykel.</t>
  </si>
  <si>
    <t>Hantering av förändringar</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</si>
  <si>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</si>
  <si>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Rutinerna för hantering av förändringar omfattar apparaternas, programvarornas och informationens hela livscykel (exempelvis anskaffning, ibruktagande, användning och tagande ur bruk).</t>
  </si>
  <si>
    <t>Loggarna för hantering av förändringar innehåller information om sådana utförda förändringar som påverkar cybersäkerhetskraven för apparaten, programvaran eller informationsresursen i fråga.</t>
  </si>
  <si>
    <t>För verksamheten inom ämnesområdet ASSET har man fastställt dokumenterade rutiner, som följs och uppdateras regelbundet.</t>
  </si>
  <si>
    <t>Det finns tillräckligt med resurser för verksamheten inom ämnesområdet ASSET (personal, finansiering och verktyg).</t>
  </si>
  <si>
    <t>Verksamheten inom ämnesområdet ASSET styrs genom krav som ställts upp i policyn på organisationens ledningsnivå (eller i motsvarande anvisningar).</t>
  </si>
  <si>
    <t>De arbetstagare som utför verksamheten inom ämnesområdet ASSET har tillräckliga kunskaper och färdigheter för sina uppgifter.</t>
  </si>
  <si>
    <t>De ansvar, kontoskyldigheter och behörigheter som krävs för verksamheten inom ämnesområdet ASSET har delats ut till lämpliga arbetstagare.</t>
  </si>
  <si>
    <t>Effektiviteten hos verksamheten inom ämnesområdet ASSET utvärderas och följs upp.</t>
  </si>
  <si>
    <t>Skydda kritiska tjänster</t>
  </si>
  <si>
    <t>Organisationen ska identifiera sin roll i tillhandahållandet av tjänster för samhället och hantera risker baserat på sin roll.</t>
  </si>
  <si>
    <t>Identifiera kritiska tjänster och beroendeförhållanden till tjänsterna</t>
  </si>
  <si>
    <t>Organisationen ska förstå sin roll i tillhandahållandet av kritiska tjänster för samhället, vilka krav tillhandahållandet av kritiska tjänster ställer och vilka konsekvenser ett misslyckat tillhandahållande kan ha.</t>
  </si>
  <si>
    <t>Kritiska tjänster som organisationen tillhandahåller samhället har identifierats och dokumenterats.</t>
  </si>
  <si>
    <t>Information som behövs för att tillhandahålla kritiska tjänster för samhället har identifierats och dokumenterats.</t>
  </si>
  <si>
    <t>Processer som behövs för att tillhandahålla kritiska tjänster för samhället har identifierats och dokumenterats.</t>
  </si>
  <si>
    <t>System (IT och OT) som behövs för att tillhandahålla kritiska tjänster för samhället har identifierats och dokumenterats.</t>
  </si>
  <si>
    <t>Utrustning och lokaler som behövs för att tillhandahålla kritiska tjänster för samhället har identifierats och dokumenterats.</t>
  </si>
  <si>
    <t>Leveranskedjor som behövs för att tillhandahålla kritiska tjänster för samhället har identifierats och dokumenterats.</t>
  </si>
  <si>
    <t>Det har fastställts en tidsfrist efter vilken den normala verksamheten i samhället påverkas betydligt, om de resurser (information, processer, system, rum, leveranskedja) som kritiska tjänster behöver inte är tillgängliga.</t>
  </si>
  <si>
    <t>Kedjeeffekter för samhället av att kritiska tjänster har försvagats eller avbrutits har identifierats och dokumenterats.</t>
  </si>
  <si>
    <t>Hantera kritiska tjänster</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</si>
  <si>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</si>
  <si>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Alla resurser (information, processer, system, rum, leveranskedjor) som behövs för att tillhandahålla samhälleligt kritiska tjänster omfattas av organisationens policyer och processer för säkerhetshantering.</t>
  </si>
  <si>
    <t>Alla resurser (information, processer, system, rum, leveranskedjor) som behövs för att tillhandahålla samhälleligt kritiska tjänster omfattas av organisationens policyer och processer för riskhantering.</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</si>
  <si>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</si>
  <si>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Ledningsgruppen behandlar säkerhetsnivån i informationsnätet och IT-systemen för tillhandahållande av kritiska tjänster för samhället utgående från uppdaterad och detaljerad information och handledning som ges av experter.</t>
  </si>
  <si>
    <t>En utsedd medlem i ledningsgruppen ansvarar för säkerhetsnivån i informationsnätet och IT-systemen för tillhandahållande av kritiska tjänster för samhället, och leder regelbundna diskussioner om ämnet i styrelsen.</t>
  </si>
  <si>
    <t>Den vision som ledningsgruppen har fastställt omvandlas till effektiva organisatoriska rutiner som styr och övervakar informationsnätet och IT-systemen för tillhandahållande av kritiska tjänster för samhället.</t>
  </si>
  <si>
    <t>Högsta ledningen har insyn i de viktigaste riskbesluten inom hela organisationen.</t>
  </si>
  <si>
    <t>De som fattar riskbeslut förstår sitt ansvar för att fatta effektiva och snabba beslut om kritiska system i enlighet med den riskaptit som ledningen i organisationen har fastställt.</t>
  </si>
  <si>
    <t>Beslutsfattandet i riskhanteringen delegeras och eskaleras vid behov i hela organisationen till personer som har sådana kunskaper, färdigheter, verktyg och behörigheter som de behöver.</t>
  </si>
  <si>
    <t>Riskbesluten granskas med jämna mellanrum i syfte att säkra att de fortfarande är betydelsefulla och giltiga.</t>
  </si>
  <si>
    <t>Resurser (information, processer, system, utrustning, leveranskedjor), en kritisk tidsperiod och kedjeeffekter beaktas i riskhanteringsprocessen och riskbesluten.</t>
  </si>
  <si>
    <t>Minimera cybersäkerhetsincidenters verkningar på kritiska tjänster</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</si>
  <si>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</si>
  <si>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Planen för hantering av cybersäkerhetshändelser och cybersäkerhetsincidenter omfattar alla kritiska system.</t>
  </si>
  <si>
    <t>Planen för hantering av cybersäkerhetshändelser och cybersäkerhetsincidenter omfattar scenarier som endast gäller kända och välförstådda angrepp.</t>
  </si>
  <si>
    <t>Personer som deltar i genomförandet av planen för hantering av cybersäkerhetshändelser och cybersäkerhetsincidenter förstår det bra.</t>
  </si>
  <si>
    <t>Planen har dokumenterats och delats ut till alla relevanta berörda parter.</t>
  </si>
  <si>
    <t xml:space="preserve">Planen bygger på en klar förståelse av risker mot nät och informationssystem som behövs för att tillhandahålla kritiska tjänster. </t>
  </si>
  <si>
    <t>Planen är omfattande (omfattar t.ex. alla faser av en avvikelses livscykel, roller, ansvarsområden, rapportering) och innehåller en beskrivning av sannolika verkningar av kända angreppsmetoder och av potentiella angreppsmetoder som ännu inte har förverkligats.</t>
  </si>
  <si>
    <t>Planen har dokumenterats och integrerats i mer omfattande processer för hantering av organisationens affärsverksamhet och leveranskedja.</t>
  </si>
  <si>
    <t>Affärsenheter som tillhandahåller kritiska tjänster har tagit emot och förstår planen.</t>
  </si>
  <si>
    <t>Svar</t>
  </si>
  <si>
    <t>Noter och referenser</t>
  </si>
  <si>
    <t>Nivå</t>
  </si>
  <si>
    <t>Praktik</t>
  </si>
  <si>
    <t>Säkerhetsklassificering</t>
  </si>
  <si>
    <t>Total nivå</t>
  </si>
  <si>
    <t>Nivån på investeringar i cybersäkerhet (fliken Investment)</t>
  </si>
  <si>
    <t>Nivån på investeringar i cybersäkerhet</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</si>
  <si>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</si>
  <si>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Kategori</t>
  </si>
  <si>
    <t>Personal (intern)</t>
  </si>
  <si>
    <t>Konsultverksamhet</t>
  </si>
  <si>
    <t>Tjänster</t>
  </si>
  <si>
    <t>Programvarulicenser</t>
  </si>
  <si>
    <t>Invest. i hårdvara</t>
  </si>
  <si>
    <t>Planerad</t>
  </si>
  <si>
    <t>Funktion</t>
  </si>
  <si>
    <t>Processer</t>
  </si>
  <si>
    <t>System</t>
  </si>
  <si>
    <t>Effekter på andra organisationer</t>
  </si>
  <si>
    <t>Leverantörer</t>
  </si>
  <si>
    <t>Interna beroenden</t>
  </si>
  <si>
    <t>Datum</t>
  </si>
  <si>
    <t>Deltagare</t>
  </si>
  <si>
    <t>Kommentarer</t>
  </si>
  <si>
    <t>Intern referens</t>
  </si>
  <si>
    <t>Extern referens</t>
  </si>
  <si>
    <t>Utvecklingsobjekt</t>
  </si>
  <si>
    <t>FÖREGÅENDE BEDÖMNING</t>
  </si>
  <si>
    <t>Tidigare bedömningsresultat (i bedömningsfliken)</t>
  </si>
  <si>
    <t>Tidigare bedömningsresultat (i rapporterna)</t>
  </si>
  <si>
    <t>Jämförelseresultat (i rapporterna)</t>
  </si>
  <si>
    <t>Exporterar resultat</t>
  </si>
  <si>
    <t>De jämförelseuppgifter som skrivits in i denna tabell visas i rapporterna.</t>
  </si>
  <si>
    <t>Snabbguide för export av resultat (Microsof Office Excel 2016)</t>
  </si>
  <si>
    <t>1) Visa fliken Utvecklare
- Gå till alternativ&gt; Anpassa menyfliksområdetpå fliken Arkiv.
- Under Anpassa menyflik och under Huvudflikar väljer du kryssrutan Utvecklare.
2) Exportera XML-data
- Klicka på Utvecklare &gt; Exportera.
- Spara .xml-filen med namnet du väjer.</t>
  </si>
  <si>
    <t>Rapport om Cybermätarens mognad (R2)</t>
  </si>
  <si>
    <t>Ledningens rapport om mognad (R1)</t>
  </si>
  <si>
    <t>I enlighet med avsnitten för cybersäkerheten</t>
  </si>
  <si>
    <t>Detaljerad NIST Cybersecurity Framework Core-rapport</t>
  </si>
  <si>
    <t>Cybersäkerhetens mognadsgrad</t>
  </si>
  <si>
    <t>Åtgärder som kärvs på mognadsnivå 1</t>
  </si>
  <si>
    <t>Utvecklingsområden för cybersäkerheten</t>
  </si>
  <si>
    <t>Gemensamma hanteringsåtgärder</t>
  </si>
  <si>
    <t>Ämnesområdesspecifik mognadsrapport</t>
  </si>
  <si>
    <t>Import av bedömningsresultat och jämförelseinformation</t>
  </si>
  <si>
    <t>Export av bedömningsresultat</t>
  </si>
  <si>
    <t>De resultat som matas in här visas i Cybermätarens bedömningsavsnitt intill de nuvarande bedömningarna (i kolumnerna O-S).</t>
  </si>
  <si>
    <t>Verktyg för bedömning av cybersäkerhet</t>
  </si>
  <si>
    <t>Namn</t>
  </si>
  <si>
    <t>Bransch</t>
  </si>
  <si>
    <t xml:space="preserve">Handledare </t>
  </si>
  <si>
    <t>Beskrivning av funktionen som ska utvärderas</t>
  </si>
  <si>
    <t>Funktionens effekter för samhället</t>
  </si>
  <si>
    <t>Startdatum</t>
  </si>
  <si>
    <t>Senast ändring</t>
  </si>
  <si>
    <t>Bedömning av cybersäkerhet</t>
  </si>
  <si>
    <t>Avsnitten för cybersäkerheten</t>
  </si>
  <si>
    <t>Resultat och referensdata</t>
  </si>
  <si>
    <t>Polärdiagram (R4)</t>
  </si>
  <si>
    <t>Rapport över allmänna administrativa åtgärder (R5)</t>
  </si>
  <si>
    <t>Beskrivning av hotscenario (worst-case)</t>
  </si>
  <si>
    <t>Scenariots samhälleliga effekter</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</si>
  <si>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</si>
  <si>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Nästa bedömning</t>
  </si>
  <si>
    <t>Observera</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</si>
  <si>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</si>
  <si>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</si>
  <si>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</si>
  <si>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</si>
  <si>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Identifiera</t>
  </si>
  <si>
    <t>Organisationen har en mycket begränsad kapacitet att identifiera och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</si>
  <si>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</si>
  <si>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</si>
  <si>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</si>
  <si>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Skydda</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</si>
  <si>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</si>
  <si>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</si>
  <si>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</si>
  <si>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</si>
  <si>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Återställ</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</si>
  <si>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</si>
  <si>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</si>
  <si>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</si>
  <si>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</si>
  <si>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Åtgärda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</si>
  <si>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</si>
  <si>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</si>
  <si>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</si>
  <si>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</si>
  <si>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Hantering av cybersäkerhet (PROGRAM)</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</si>
  <si>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</si>
  <si>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Cybersäkerhetsstrategi</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</si>
  <si>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</si>
  <si>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Organisationen har en cybersäkerhetsstrategi. På nivå 1 behöver utvecklingen eller upprätthållandet av den inte vara systematisk och regelbunden.</t>
  </si>
  <si>
    <t>Cybersäkerhetsstrategin fastställer cybersäkerhetsmål för organisationen.</t>
  </si>
  <si>
    <t>Cybersäkerhetsstrategin och -prioriteringarna har dokumenterats. Strategin och prioriteringarna är i linje med organisationens allmänna strategiska mål och de risker som berör dess kritiska infrastruktur.</t>
  </si>
  <si>
    <t>Cybersäkerhetsstrategin definierar hanteringsmodellen (”governance”) och tillsynsåtgärderna för organisationens cybersäkerhet.</t>
  </si>
  <si>
    <t>Cybersäkerhetsstrategin definierar hanterings- och organisationsstrukturen för cybersäkerheten.</t>
  </si>
  <si>
    <t>Cybersäkerhetsstrategin anger de standarder och anvisningar som ska följas.</t>
  </si>
  <si>
    <t>Ledningens stöd till programmet för hantering av cybersäkerhet</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</si>
  <si>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</si>
  <si>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Organisationens högsta ledning stöder hanteringen av cybersäkerheten. På nivå 1 behöver detta inte vara systematiskt och regelbundet.</t>
  </si>
  <si>
    <t>Hanteringen av cybersäkerheten baserar sig på cybersäkerhetsstrategin.</t>
  </si>
  <si>
    <t>Organisationens högsta lednings stöd för hanteringen av cybersäkerheten är synligt och aktivt.</t>
  </si>
  <si>
    <t>Organisationens högsta ledning stöder utvecklingen, upprätthållandet och verkställandet av cybersäkerhetspolicyer och -anvisningar.</t>
  </si>
  <si>
    <t>Ansvaret för hanteringen av cybersäkerheten har tilldelats en aktör inom organisationen som har tillräckliga befogenheter.</t>
  </si>
  <si>
    <t>De berörda parterna i hanteringen av cybersäkerheten har identifierats och involverats.</t>
  </si>
  <si>
    <t>Verksamheten inom hanteringen av cybersäkerheten ses över då och då för att säkerställa att åtgärderna är i linje med cybersäkerhetsstrategin.</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</si>
  <si>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</si>
  <si>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För verksamheten inom ämnesområdet PROGRAM har man fastställt dokumenterade rutiner, som följs och uppdateras regelbundet.</t>
  </si>
  <si>
    <t>Det finns tillräckligt med resurser för verksamheten inom ämnesområdet PROGRAM (personal, finansiering och verktyg).</t>
  </si>
  <si>
    <t>Verksamheten inom ämnesområdet PROGRAM styrs genom krav som ställts upp i policyn på organisationens ledningsnivå (eller i motsvarande anvisningar).</t>
  </si>
  <si>
    <t>De arbetstagare som utför verksamheten inom ämnesområdet PROGRAM har tillräckliga kunskaper och färdigheter för sina uppgifter.</t>
  </si>
  <si>
    <t>De ansvar, kontoskyldigheter och behörigheter som krävs för verksamheten inom ämnesområdet PROGRAM har delats ut till lämpliga arbetstagare.</t>
  </si>
  <si>
    <t>Effektiviteten hos verksamheten inom ämnesområdet PROGRAM utvärderas och följs upp.</t>
  </si>
  <si>
    <t>Hantering av händelser och störningar, verksamhetens kontinuitet (RESPONSE)</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</si>
  <si>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</si>
  <si>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Observation av händelser</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</si>
  <si>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</si>
  <si>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Kriterier har utarbetats för cyberhändelser och observation av dem (som omfattar exempelvis en definition av situationer som uppfyller definitionen av en cybersäkerhetshändelse eller en definition av var cybersäkerhetshändelser kan observeras).</t>
  </si>
  <si>
    <t>Information om olika händelser jämförs med varandra för att upptäcka eventuella regelbundenheter, trender eller andra gemensamma drag, som kan stödja arbetet med analys av cyberstörningar.</t>
  </si>
  <si>
    <t>Funktionens lägesbild följs upp så att den stöder observationen av eventuella cyberhändelser.</t>
  </si>
  <si>
    <t>Analys av händelser och definition av störningssituationer</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</si>
  <si>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</si>
  <si>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Kriterier har utarbetats för definition av cybersäkerhetsstörningar. På nivå 1 behöver detta inte vara systematiskt och regelbundet.</t>
  </si>
  <si>
    <t>Cybersäkerhetshändelser analyseras så att analysen stöder definitionen av eventuella cybersäkerhetsstörningar. På nivå 1 behöver detta inte vara systematiskt och regelbundet.</t>
  </si>
  <si>
    <t>Offentliga kriterier har utarbetats för definitionen av cybersäkerhetsstörningar. De baserar sig på hur störningarna kan påverka funktionen.</t>
  </si>
  <si>
    <t>Cybersäkerhetshändelser definieras som cybersäkerhetsstörningar enligt de utarbetade kriterierna.</t>
  </si>
  <si>
    <t>Kriterierna för definition av cybersäkerhetsstörningar uppdateras då och då samt i samband med specifika situationer såsom vid organisationsförändringar eller utifrån erfarenheter från övningar eller nya upptäckta hot.</t>
  </si>
  <si>
    <t>Kriterierna för definiering av cybersäkerhetsstörningar är i linje med kriterierna för prioritering av cybersäkerhetsrisker [se  RISK-3b].</t>
  </si>
  <si>
    <t>Information om olika cybersäkerhetsstörningar jämförs för att identifiera eventuella regelbundenheter, trender eller andra gemensamma drag.</t>
  </si>
  <si>
    <t>Reaktion på händelser och störningar</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</si>
  <si>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</si>
  <si>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Cybersäkerhetsstörningar rapporteras (exempelvis internt, till CERT-FI eller till lämpliga ISAC-grupper). På nivå 1 behöver detta inte vara systematiskt och regelbundet.</t>
  </si>
  <si>
    <t>Man har utarbetat en plan på hur man reagerar på cyberstörningar. Planen ska vara uppdaterad och täcka hela livscykeln för störningshanteringen.</t>
  </si>
  <si>
    <t>Reaktionerna på cybersäkerhetshändelser och -störningar följer fastställda planer och processer.</t>
  </si>
  <si>
    <t>Man övar på planen för reaktion på cybersäkerhetsstörningar och -händelser då och då samt i specifika situationer såsom i samband med systemförändringar eller externa händelser.</t>
  </si>
  <si>
    <t>Reaktionerna på cybersäkerhetshändelser och -störningar samordnas till tillämpliga delar med leverantörer, myndigheter och andra utomstående aktörer. Hit hör insamling och förvaring av bevismaterial.</t>
  </si>
  <si>
    <t>Cybersäkerhet som en del av verksamhetens kontinuitet</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</si>
  <si>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</si>
  <si>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Det finns säkerhetskopior av informationen, som testas. På nivå 1 behöver detta inte vara systematiskt och regelbundet.</t>
  </si>
  <si>
    <t>IT-apparater (och eventuella OT-apparater) som behöver reservdelar har identifierats. På nivå 1 behöver detta inte vara systematiskt och regelbundet.</t>
  </si>
  <si>
    <t>I kontinuitetsplanerna identifieras och dokumenteras de anordningar, programvaror och datalager samt funktioner som minst krävs för att upprätthålla verksamheten inom funktionen.</t>
  </si>
  <si>
    <t>Kontinuitetsplanerna testas genom bedömningar och/eller övningar då och då samt i specifika situationer såsom i samband med systemförändringar eller externa händelser.</t>
  </si>
  <si>
    <t>Reservdelar finns tillgängliga för de IT-apparater (och eventuella OT-apparater) som behöver sådana.</t>
  </si>
  <si>
    <t>Kriterier för ibruktagande av kontinuitetsplan i en situation med en cybersäkerhetsstörning har definierats och kommunicerats till de arbetstagare som ansvarar för hanteringen av störningar och för beredskapsplanerna.</t>
  </si>
  <si>
    <t>Observationer från testningen av kontinuitetsplanen och från verkliga situationer jämförs med de uppställda återhämtningsmålen, och planerna utvecklas utifrån dessa observationer.</t>
  </si>
  <si>
    <t>För verksamheten inom ämnesområdet RESPONSE har man fastställt dokumenterade rutiner, som följs och uppdateras regelbundet.</t>
  </si>
  <si>
    <t>Det finns tillräckligt med resurser för verksamheten inom ämnesområdet RESPONSE (personal, finansiering och verktyg).</t>
  </si>
  <si>
    <t>Verksamheten inom ämnesområdet RESPONSE styrs genom krav som ställts upp i policyn på organisationens ledningsnivå (eller i motsvarande anvisningar).</t>
  </si>
  <si>
    <t>De arbetstagare som utför verksamheten inom ämnesområdet RESPONSE har tillräckliga kunskaper och färdigheter för sina uppgifter.</t>
  </si>
  <si>
    <t>Effektiviteten hos verksamheten inom ämnesområdet RESPONSE utvärderas och följs upp.</t>
  </si>
  <si>
    <t>Riskhantering (RISK)</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</si>
  <si>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</si>
  <si>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Plan för hantering av cybersäkerhetsrisker</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</si>
  <si>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</si>
  <si>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Organisationens hantering av cybersäkerhetsrisker styrs av en plan (exempelvis en strategi eller motsvarande policy på ledningsnivån). På nivå 1 behöver utvecklingen eller upprätthållandet av den inte vara systematisk och regelbunden.</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</si>
  <si>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</si>
  <si>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Information om åtgärderna inom hanteringen av cybersäkerhetsrisker delas till lämpliga berörda parter.</t>
  </si>
  <si>
    <t>För hanteringen av cybersäkerhetsrisker har man fastställt en administrationsmodell (ref. ”governance”), som uppdateras regelbundet. Till administrationsmodellen hör bland annat ansvar, skyldigheter och beslutsstrukturer för riskhanteringen.</t>
  </si>
  <si>
    <t>Identifiering av cybersäkerhetsrisker</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</si>
  <si>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</si>
  <si>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Cybersäkerhetsrisker identifieras. På nivå 1 behöver detta inte vara systematiskt och regelbundet.</t>
  </si>
  <si>
    <t>De identifierade cybersäkerhetsriskerna delas in i olika kategorier, så att riskerna kan hanteras kategorispecifikt (kategorierna kan vara exempelvis dataläckor, interna fel, ransomware eller kapning av OT-apparater).</t>
  </si>
  <si>
    <t>Cybersäkerhetsriskerna och cybersäkerhetsriskkategorierna dokumenteras i ett riskregister (eller i en motsvarande informationsresurs).</t>
  </si>
  <si>
    <t>Ägare har utsetts för cybersäkerhetsriskerna och cybersäkerhetsriskkategorierna.</t>
  </si>
  <si>
    <t>Cybersäkerhetsriskerna identifieras då och då samt i specifika situationer, exempelvis vid systemförändringar eller externa cybersäkerhetshändelser.</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</si>
  <si>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</si>
  <si>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Information om hot från ämnesområdet för hantering av hot [se THREAT] används för att identifiera nya cybersäkerhetsrisker och uppdatera befintliga.</t>
  </si>
  <si>
    <t>I identifieringen av cybersäkerhetsrisker beaktas risker som berör kritisk infrastruktur eller organisationer som är beroende av varandra.</t>
  </si>
  <si>
    <t>Riskanalys</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</si>
  <si>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</si>
  <si>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Cybersäkerhetsriskerna prioriteras utifrån vilken effekt de bedöms ha. På nivå 1 behöver detta inte vara systematiskt och regelbundet.</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</si>
  <si>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</si>
  <si>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Berörda parter från lämpliga enheter för operativ verksamhet och affärsverksamhet inom organisationen deltar i analysen av cybersäkerhetsrisker med högre prioritet.</t>
  </si>
  <si>
    <t>Analyserna av cybersäkerhetsriskerna uppdateras då och då samt i specifika situationer såsom i samband med systemförändringar eller externa händelser.</t>
  </si>
  <si>
    <t>Reaktion på risker</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</si>
  <si>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</si>
  <si>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Sätten att reagera på risker väljs och genomförs enligt de fastställda metoderna, som baserar sig på analyser och prioriteringar.</t>
  </si>
  <si>
    <t>Företagsledningen granskar sätten att reagera på risker (såsom att minska, godkänna, undvika eller överföra risken) då och då för att säkerställa deras lämplighet.</t>
  </si>
  <si>
    <t>För verksamheten inom ämnesområdet RISK har man fastställt dokumenterade rutiner, som följs och uppdateras regelbundet.</t>
  </si>
  <si>
    <t>Det finns tillräckligt med resurser för verksamheten inom ämnesområdet RISK (personal, finansiering och verktyg).</t>
  </si>
  <si>
    <t>Verksamheten inom ämnesområdet RISK styrs genom krav som ställts upp i policyn på organisationens ledningsnivå (eller i motsvarande anvisningar).</t>
  </si>
  <si>
    <t>De arbetstagare som utför verksamheten inom ämnesområdet RISK har tillräckliga kunskaper och färdigheter för sina uppgifter.</t>
  </si>
  <si>
    <t>De ansvar, kontoskyldigheter och behörigheter som krävs för verksamheten inom ämnesområdet RISK har delats ut till lämpliga arbetstagare.</t>
  </si>
  <si>
    <t>Effektiviteten hos verksamheten inom ämnesområdet RISK utvärderas och följs upp.</t>
  </si>
  <si>
    <t>Lägesbild (SITUATION)</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</si>
  <si>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</si>
  <si>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Hantering av loggar</t>
  </si>
  <si>
    <t xml:space="preserve">Loggning bör vara införd utifrån skyddade objekts verkningar på verksamheten. Ju större potentiell inverkan exempelvis ett riskutsatt skyddat objekt har, desto mer information ska organisationen samla in om objektet. </t>
  </si>
  <si>
    <t>Logginformation samlas in från sådana apparater, programvaror och informationsresurser som skulle kunna användas för att uppnå en angripares mål.</t>
  </si>
  <si>
    <t>Logginformationen sammanställs centraliserat inom funktionen.</t>
  </si>
  <si>
    <t>Övervakning av miljöer</t>
  </si>
  <si>
    <t>Med hjälp av uppföljning och analys av information som har samlats in via loggdata och andra källor kan organisationen förstå vilken operativ status och cybersäkerhetsstatus verksamheten har.</t>
  </si>
  <si>
    <t>Man granskar logguppgifterna och övervakar cybersäkerheten på andra sätt. På nivå 1 behöver detta inte vara systematiskt och regelbundet.</t>
  </si>
  <si>
    <t>Närmare krav har fastställts för övervakningen och för analysen av observationer, och kraven uppdateras regelbundet och omfattar granskning av information om händelser i rätt tid.</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</si>
  <si>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</si>
  <si>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För identifiering av cybersäkerhetshändelser har man fastställt olika larm och aviseringar, som uppdateras regelbundet.</t>
  </si>
  <si>
    <t>Information från riskanalyserna [se RISK-3d] används när man fastställer indikatorer för avvikande verksamhet.</t>
  </si>
  <si>
    <t>Upprätthållande av lägesbild</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</si>
  <si>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</si>
  <si>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Man har fastställt metoder för kommunikation om lägesbilden för funktionens cybersäkerhet, som uppdateras regelbundet.</t>
  </si>
  <si>
    <t>Tillsynsinformationen sammanställs för att bilda en operativ lägesbild för funktionen.</t>
  </si>
  <si>
    <t>Tillämplig information från olika delar av organisationen finns tillgänglig för att berika lägesbilden.</t>
  </si>
  <si>
    <t>Krav har fastställts för rapporteringen av lägesbilden. Hit hör att dela cybersäkerhetsinformation i rätt tid till berörda parter som organisationen definierat.</t>
  </si>
  <si>
    <t>För att berika lägesbilden samlar man in lämplig information utanför organisationen. Denna information distribueras också till de interna berörda parter som organisationen definierat.</t>
  </si>
  <si>
    <t>För verksamheten inom ämnesområdet SITUATION har man fastställt dokumenterade rutiner, som följs och uppdateras regelbundet.</t>
  </si>
  <si>
    <t>Det finns tillräckligt med resurser för verksamheten inom ämnesområdet SITUATION (personal, finansiering och verktyg).</t>
  </si>
  <si>
    <t>Verksamheten inom ämnesområdet SITUATION styrs genom krav som ställts upp i policyn på organisationens ledningsnivå (eller i motsvarande anvisningar).</t>
  </si>
  <si>
    <t>De arbetstagare som utför verksamheten inom ämnesområdet SITUATION har tillräckliga kunskaper och färdigheter för sina uppgifter.</t>
  </si>
  <si>
    <t>De ansvar, kontoskyldigheter och behörigheter som krävs för verksamheten inom ämnesområdet SITUATION har delats ut till lämpliga arbetstagare.</t>
  </si>
  <si>
    <t>Effektiviteten hos verksamheten inom ämnesområdet SITUATION utvärderas och följs upp.</t>
  </si>
  <si>
    <t>Fastställ och underhåll kontroller för att hantera sådana cybersäkerhetsrisker mot tjänster och skyddade objekt som är beroende av externa entiteter, i förhållande till den kritiska infrastrukturen och riskerna mot organisationens mål.</t>
  </si>
  <si>
    <t>Identifiering och prioritering av partnernätverket</t>
  </si>
  <si>
    <t>Identifiering av beroendeförhållanden omfattar att skapa och upprätthålla en övergripande förståelse av viktiga externa relationer som är delaktiga i tillhandahållandet av tjänster.</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</si>
  <si>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</si>
  <si>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</si>
  <si>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</si>
  <si>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Prioriteringen av leverantörer och andra aktörer i partnernätverket uppdateras då och då samt i specifika situationer såsom i samband med systemförändringar eller externa händelser.</t>
  </si>
  <si>
    <t>Hantering av risker i anknytning till partnernätverket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</si>
  <si>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</si>
  <si>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Valet av leverantörer och andra aktörer i partnernätverket påverkas av en bedömning av deras cybersäkerhetskompetens. På nivå 1 behöver detta inte vara systematiskt och regelbundet.</t>
  </si>
  <si>
    <t>Val av produkter och tjänster påverkas av en bedömning av deras cyberförmågor. På nivå 1 behöver detta inte vara systematiskt och regelbundet.</t>
  </si>
  <si>
    <t>De fastställda metoderna följs när man identifierar cybersäkerhetskrav och genomför skyddsåtgärder i anknytning till dem, genom vilka man skyddar sig mot risker som orsakas av leverantörer och aktörer i partnernätverket.</t>
  </si>
  <si>
    <t>De fastställda metoderna följs när man bedömer och väljer leverantörer och andra aktörer i partnernätverket.</t>
  </si>
  <si>
    <t>Striktare skyddsåtgärder genomförs för leverantörer och andra aktörer i partnernätverket som har hög prioritet.</t>
  </si>
  <si>
    <t>Cybersäkerhetskrav är en officiell del av de avtal som ingås med leverantörer och andra aktörer i partnernätverket.</t>
  </si>
  <si>
    <t>Leverantörerna och andra aktörer i partnernätverket visar med jämna mellanrum sina förmågor att uppfylla de fastställda cybersäkerhetskraven.</t>
  </si>
  <si>
    <t>Cybersäkerhetskraven för leverantörer och andra aktörer i partnernätverket inkluderar till tillämpliga delar krav på säker programvaru- och produktutveckling.</t>
  </si>
  <si>
    <t>Som en del av urvalskriterierna har man på ett lämpligt sätt beaktat när användningstiden och användningssupporten löper ut.</t>
  </si>
  <si>
    <t>Som en del av urvalskriterierna har man på ett lämpligt sätt beaktat åtgärder mot förfalskade eller äventyrade programvaror, apparater eller tjänster.</t>
  </si>
  <si>
    <t>Till godkännandetestningen av apparater, programvaror och informationsresurser som anskaffas hör testning av cybersäkerhetskraven.</t>
  </si>
  <si>
    <t>Hantering av hot och sårbarheter (THREAT)</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</si>
  <si>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</si>
  <si>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Minskning av sårbarheter</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</si>
  <si>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</si>
  <si>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Lämpliga informationskällor som stöd för identifieringen av sårbarheter har identifierats. På nivå 1 behöver detta inte vara systematiskt och regelbundet.</t>
  </si>
  <si>
    <t>Uppgifter om sårbarheter samlas in och tolkas för funktionen. På nivå 1 behöver detta inte vara systematiskt och regelbundet.</t>
  </si>
  <si>
    <t>Man gör sårbarhetsbedömningar. På nivå 1 behöver detta inte vara systematiskt och regelbundet.</t>
  </si>
  <si>
    <t>Man ingriper i sårbarheter som är av betydelse för funktionen (exempelvis genom att öka övervakningen eller installera korrigerande uppdateringar). På nivå 1 behöver detta inte vara systematiskt och regelbundet.</t>
  </si>
  <si>
    <t>Sårbarhetsbedömningar görs då och då samt i specifika situationer såsom i samband med systemförändringar eller externa händelser.</t>
  </si>
  <si>
    <t>Man analyserar, prioriterar och ingriper i de identifierade sårbarheterna med de metoder som situationen kräver.</t>
  </si>
  <si>
    <t>Sårbarhetsbedömningarna görs av en oberoende aktör som inte har någon anknytning till den operativa verksamheten inom funktionen.</t>
  </si>
  <si>
    <t>Bekämpning av hot och spridning av information om hot</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</si>
  <si>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</si>
  <si>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Lämpliga informationskällor som stöd för identifieringen av hot har identifierats. På nivå 1 behöver detta inte vara systematiskt och regelbundet.</t>
  </si>
  <si>
    <t>Man ingriper i hot som är av betydelse för funktionen (exempelvis genom att öka övervakningen eller följa hotens utveckling). På nivå 1 behöver detta inte vara systematiskt och regelbundet.</t>
  </si>
  <si>
    <t>Källorna till informationen om hot omfattar alla olika delar av hotprofilen, och dessa informationskällor följs regelbundet.</t>
  </si>
  <si>
    <t>Man analyserar, prioriterar och ingriper i de identifierade hoten med de metoder som situationen kräver.</t>
  </si>
  <si>
    <t>Verksamhetens hotprofil uppdateras då och då samt i specifika situationer såsom i samband med systemförändringar eller externa händelser.</t>
  </si>
  <si>
    <t>Information om hot hanteras med säkra metoder i så nära realtid som möjligt, för att säkerställa att man snabbt analyserar och ingriper i hot.</t>
  </si>
  <si>
    <t>För verksamheten inom ämnesområdet THREAT har man fastställt dokumenterade rutiner, som regelbundet följs och uppdateras.</t>
  </si>
  <si>
    <t>Det finns tillräckligt med resurser för verksamheten inom ämnesområdet THREAT (personal, finansiering och verktyg).</t>
  </si>
  <si>
    <t>Verksamheten inom ämnesområdet THREAT styrs genom krav som ställts upp i policyn på organisationens ledningsnivå (eller i motsvarande anvisningar).</t>
  </si>
  <si>
    <t>De arbetstagare som utför verksamheten inom ämnesområdet THREAT har tillräckliga kunskaper och färdigheter för sina uppgifter.</t>
  </si>
  <si>
    <t>De ansvar, kontoskyldigheter och behörigheter som krävs för verksamheten inom ämnesområdet THREAT  har delats ut till lämpliga arbetstagare.</t>
  </si>
  <si>
    <t>Effektiviteten hos verksamheten inom ämnesområdet THREAT utvärderas och följs upp.</t>
  </si>
  <si>
    <t>Personalledning och -utveckling (WORKFORCE)</t>
  </si>
  <si>
    <t>Inför och uppdatera planer, processer, tekniker och kontroller för att kunna upprätthålla en cybersäkerhetskultur och säkerställa en lämplig och kompetent personal med hänsyn till riskerna mot den kritiska infrastrukturen och organisationens mål.</t>
  </si>
  <si>
    <t>Ansvar för cybersäkerhet</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</si>
  <si>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</si>
  <si>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Ansvarsfördelningen för cybersäkerheten inom organisationen har identifierats. På nivå 1 behöver detta inte vara systematiskt och regelbundet.</t>
  </si>
  <si>
    <t>Ansvaret för cybersäkerheten har tilldelats namngivna personer. På nivå 1 behöver detta inte vara systematiskt och regelbundet.</t>
  </si>
  <si>
    <t>Ansvaret för cybersäkerheten har tilldelats namngivna roller (inklusive eventuella externa serviceproducenter).</t>
  </si>
  <si>
    <t>Ansvaret för cybersäkerheten har dokumenterats.</t>
  </si>
  <si>
    <t>Ansvarsfördelningen för cybersäkerheten och kraven på arbetsuppgifterna granskas och uppdateras då och då samt i specifika situationer såsom i samband med systemförändringar eller när organisationsstrukturen förändras.</t>
  </si>
  <si>
    <t>Det fördelade ansvaret för cybersäkerheten administreras så att man säkerställer dess tillräcklighet och tillräcklig överlappning (inklusive planering av personalväxling).</t>
  </si>
  <si>
    <t>Personalutveckling med fokus på cybersäkerhet</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</si>
  <si>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</si>
  <si>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Cybersäkerhetsutbildning är tillgänglig för sådana arbetstagare som har tilldelats ansvar för cybersäkerheten. På nivå 1 behöver detta inte vara systematiskt och regelbundet.</t>
  </si>
  <si>
    <t>Kraven på kunskaper, färdigheter och förmågor i anknytning till cybersäkerhet samt eventuella brister i dessa har identifierats med tanke på både nuvarande och framtida behov. På nivå 1 behöver detta inte vara systematiskt och regelbundet.</t>
  </si>
  <si>
    <t>Cybersäkerhetsutbildning är en förutsättning för beviljande av användnings- eller åtkomsträttigheter till apparater, programvaror och informationsresurser som är viktiga för funktionen.</t>
  </si>
  <si>
    <t>Utbildningsverksamhetens effektivitet utvärderas då och då och utbildningen utvecklas enligt behov.</t>
  </si>
  <si>
    <t>Personalförvaltningsprocesser</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</si>
  <si>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</si>
  <si>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Olika kontroller (exempelvis bakgrundskontroller, drogtester) görs när nya arbetstagare anställs. På nivå 1 behöver detta inte vara systematiskt och regelbundet.</t>
  </si>
  <si>
    <t>I förfarandena för avslutande av en anställning beaktas cybersäkerheten. På nivå 1 behöver detta inte vara systematiskt och regelbundet.</t>
  </si>
  <si>
    <t>Varje arbetsuppgift granskas på ett lämpligt sätt i förhållande till arbetsuppgiftens risker (inklusive arbetstagare, leverantörer och underleverantörer).</t>
  </si>
  <si>
    <t>Utbildning och ökning av medvetenheten om cybersäkerhet</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</si>
  <si>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</si>
  <si>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Personalens medvetenhet om cybersäkerheten förbättras på olika sätt. På nivå 1 behöver detta inte vara systematiskt och regelbundet.</t>
  </si>
  <si>
    <t>Åtgärderna för att förbättra medvetenheten om cybersäkerhet är i linje med de driftlägen som organisationen definierat på förhand [se SITUATION-3h].</t>
  </si>
  <si>
    <t>För verksamheten inom ämnesområdet WORKFORCE har man fastställt dokumenterade rutiner, som följs och uppdateras regelbundet.</t>
  </si>
  <si>
    <t>Det finns tillräckligt med resurser för verksamheten inom ämnesområdet WORKFORCE (personal, finansiering och verktyg).</t>
  </si>
  <si>
    <t>Verksamheten inom ämnesområdet WORKFORCE styrs genom krav som ställts upp i policyn på organisationens ledningsnivå (eller i motsvarande anvisningar).</t>
  </si>
  <si>
    <t>De arbetstagare som utför verksamheten inom ämnesområdet WORKFORCE har tillräckliga kunskaper och färdigheter för sina uppgifter.</t>
  </si>
  <si>
    <t>De ansvar, kontoskyldigheter och behörigheter som krävs för verksamheten inom ämnesområdet WORKFORCE har delats ut till lämpliga arbetstagare.</t>
  </si>
  <si>
    <t>Effektiviteten hos verksamheten inom ämnesområdet WORKFORCE utvärderas och följs upp.</t>
  </si>
  <si>
    <t>Koulutus ja tutkimus</t>
  </si>
  <si>
    <t xml:space="preserve">Muu </t>
  </si>
  <si>
    <t>Informations- och kommunikationsverksamhet</t>
  </si>
  <si>
    <t>Information and communication</t>
  </si>
  <si>
    <t>Utvinning av mineral</t>
  </si>
  <si>
    <t>Mining and quarrying</t>
  </si>
  <si>
    <t>Hotell- och restaurangverksamhet</t>
  </si>
  <si>
    <t>Accommodation and food service activities</t>
  </si>
  <si>
    <t>Media-ala</t>
  </si>
  <si>
    <t>Media industry</t>
  </si>
  <si>
    <t>Mediebranschen</t>
  </si>
  <si>
    <t>Handel</t>
  </si>
  <si>
    <t>Tukku- ja vähittäiskauppa</t>
  </si>
  <si>
    <t>Wholesale and retail trade</t>
  </si>
  <si>
    <t>Hallinto- ja tukipalvelut</t>
  </si>
  <si>
    <t>Uthyrning, fastighetsservice, resetjänster och andra stödtjänster</t>
  </si>
  <si>
    <t>Administrative and support service activities</t>
  </si>
  <si>
    <t>ICT - Informaatio ja viestintä</t>
  </si>
  <si>
    <t>Finanssi - Kiinteistöalan toiminta</t>
  </si>
  <si>
    <t>Logistiikka - Satamatoiminta</t>
  </si>
  <si>
    <t>Kriit. Teollisuus - Lääkkeet ja lääkinnälliset laitteet</t>
  </si>
  <si>
    <t>ICT - ISP ja NSP</t>
  </si>
  <si>
    <t>ICT - Muu</t>
  </si>
  <si>
    <t>ICT - Other</t>
  </si>
  <si>
    <t>ICT - Övrig</t>
  </si>
  <si>
    <t>Public administration</t>
  </si>
  <si>
    <t>Fastighetsverksamhet</t>
  </si>
  <si>
    <t>Real estate activities</t>
  </si>
  <si>
    <t>Mediabranschen</t>
  </si>
  <si>
    <t>Logistics - Harbour</t>
  </si>
  <si>
    <t>Logistik - Hamnen</t>
  </si>
  <si>
    <t>ICT - Telekommunikation</t>
  </si>
  <si>
    <t>ICT - palvelutuotanto, sovelluskehitys, ylläpito</t>
  </si>
  <si>
    <t>ICT - Services, development, maintenance</t>
  </si>
  <si>
    <t>ICT - IT-tjänster, utveckling, underhåll</t>
  </si>
  <si>
    <t>Education and research</t>
  </si>
  <si>
    <t>Utbildning och forskning</t>
  </si>
  <si>
    <t>ICT - Telecommunications</t>
  </si>
  <si>
    <t>Industri - Läkemedel och medicinsk utrustning</t>
  </si>
  <si>
    <t>Critical Manufacturing - Pharmaceutical products and medical devices</t>
  </si>
  <si>
    <t>Laitteet ja tieto</t>
  </si>
  <si>
    <t>1 - Not implemented or Unknown</t>
  </si>
  <si>
    <t xml:space="preserve">0 - Not answered </t>
  </si>
  <si>
    <t xml:space="preserve">0 - Vastaus puuttuu </t>
  </si>
  <si>
    <t>1 - Ej implementerad eller Okänd</t>
  </si>
  <si>
    <t xml:space="preserve">0 - Inget Svar </t>
  </si>
  <si>
    <t>1 - Ei toteutettu tai ei tietoa</t>
  </si>
  <si>
    <t>C_contact</t>
  </si>
  <si>
    <t>Denna tabell kan användas för att överföra eller sända bedömningsresultaten till Cybersäkerhetscentret. Spara det här bladet som en CSV-fil.</t>
  </si>
  <si>
    <t>This table can be used to extract results for storing or sending them to NCSC-FI. Save this sheet as CSV-file.</t>
  </si>
  <si>
    <t>Text</t>
  </si>
  <si>
    <t>Kieli / Språket / Language</t>
  </si>
  <si>
    <t>PROGRAM, tiedot Infoimport-välilehdeltä</t>
  </si>
  <si>
    <t>0</t>
  </si>
  <si>
    <r>
      <rPr>
        <b/>
        <sz val="11"/>
        <color theme="1"/>
        <rFont val="Verdana"/>
        <family val="2"/>
        <scheme val="major"/>
      </rPr>
      <t>Tarkoitus:</t>
    </r>
    <r>
      <rPr>
        <sz val="11"/>
        <color theme="1"/>
        <rFont val="Verdana"/>
        <family val="2"/>
        <scheme val="major"/>
      </rPr>
      <t xml:space="preserve"> Kaaviot esittävät yhteenvedon käytäntöjen arvionnista niinkuin ne on arvioitu neliportaisella asteikolla sekä osioittain että sen mukaan, mille kypsyystasolle käytäntö on sijoitettu. 
</t>
    </r>
    <r>
      <rPr>
        <b/>
        <sz val="11"/>
        <color theme="1"/>
        <rFont val="Verdana"/>
        <family val="2"/>
        <scheme val="major"/>
      </rPr>
      <t>Tulkinta:</t>
    </r>
    <r>
      <rPr>
        <sz val="11"/>
        <color theme="1"/>
        <rFont val="Verdana"/>
        <family val="2"/>
        <scheme val="major"/>
      </rPr>
      <t xml:space="preserve"> Jokainen piiras kuvaa kyseiseen osioon ja kypsyystasolle kuuluvien käytäntöjen täytettyjen vastausten jakauman. Piiraan keskellä on osion kypsyystason käytäntöjen yhteismäärä ja eri väreillä ja luvuilla on esitetty jakauma. 
Kun kaikkiin kyseisen osion ja kypsyystason kysymyksiin on vastattu, niin kehällä olevien numeroiden summa on yhtäsuuri kuin keskellä oleva luku.
Kannattaa ensin katsoa </t>
    </r>
    <r>
      <rPr>
        <i/>
        <sz val="11"/>
        <color theme="1"/>
        <rFont val="Verdana"/>
        <family val="2"/>
        <scheme val="major"/>
      </rPr>
      <t>kypsyystason 1</t>
    </r>
    <r>
      <rPr>
        <sz val="11"/>
        <color theme="1"/>
        <rFont val="Verdana"/>
        <family val="2"/>
        <scheme val="major"/>
      </rPr>
      <t xml:space="preserve"> kuviot ja etsiä sieltä etenkin punaisella merkityt, </t>
    </r>
    <r>
      <rPr>
        <i/>
        <sz val="11"/>
        <color theme="1"/>
        <rFont val="Verdana"/>
        <family val="2"/>
        <scheme val="major"/>
      </rPr>
      <t>Ei toteutettu</t>
    </r>
    <r>
      <rPr>
        <sz val="11"/>
        <color theme="1"/>
        <rFont val="Verdana"/>
        <family val="2"/>
        <scheme val="major"/>
      </rPr>
      <t xml:space="preserve"> -vastaukset sekä </t>
    </r>
    <r>
      <rPr>
        <i/>
        <sz val="11"/>
        <color theme="1"/>
        <rFont val="Verdana"/>
        <family val="2"/>
        <scheme val="major"/>
      </rPr>
      <t>Osittain toteutettu</t>
    </r>
    <r>
      <rPr>
        <sz val="11"/>
        <color theme="1"/>
        <rFont val="Verdana"/>
        <family val="2"/>
        <scheme val="major"/>
      </rPr>
      <t xml:space="preserve"> -vastaukset. Kypsyystason 1 osalta nämä on listattu myös </t>
    </r>
    <r>
      <rPr>
        <b/>
        <sz val="11"/>
        <color theme="1"/>
        <rFont val="Verdana"/>
        <family val="2"/>
        <scheme val="major"/>
      </rPr>
      <t xml:space="preserve">raportilla R4. 
</t>
    </r>
    <r>
      <rPr>
        <sz val="11"/>
        <color theme="1"/>
        <rFont val="Verdana"/>
        <family val="2"/>
        <scheme val="major"/>
      </rPr>
      <t xml:space="preserve">Jotta </t>
    </r>
    <r>
      <rPr>
        <b/>
        <sz val="11"/>
        <color theme="1"/>
        <rFont val="Verdana"/>
        <family val="2"/>
        <scheme val="major"/>
      </rPr>
      <t>raportilla R2</t>
    </r>
    <r>
      <rPr>
        <sz val="11"/>
        <color theme="1"/>
        <rFont val="Verdana"/>
        <family val="2"/>
        <scheme val="major"/>
      </rPr>
      <t xml:space="preserve">:lla näkyvät pylväät vähintään </t>
    </r>
    <r>
      <rPr>
        <b/>
        <sz val="11"/>
        <color theme="1"/>
        <rFont val="Verdana"/>
        <family val="2"/>
        <scheme val="major"/>
      </rPr>
      <t>kypsyystasolla 1</t>
    </r>
    <r>
      <rPr>
        <sz val="11"/>
        <color theme="1"/>
        <rFont val="Verdana"/>
        <family val="2"/>
        <scheme val="major"/>
      </rPr>
      <t xml:space="preserve"> niin kaikki kypsyystason 1 kaavioiden pitää olla vihreitä.</t>
    </r>
    <r>
      <rPr>
        <b/>
        <sz val="11"/>
        <color theme="1"/>
        <rFont val="Verdana"/>
        <family val="2"/>
        <scheme val="major"/>
      </rPr>
      <t xml:space="preserve"> </t>
    </r>
    <r>
      <rPr>
        <sz val="11"/>
        <color theme="1"/>
        <rFont val="Verdana"/>
        <family val="2"/>
        <scheme val="major"/>
      </rPr>
      <t xml:space="preserve"> Kypsyystasoille 2 ja 3 riittää, että edeltävä taso on saavutettu ja yli puolet tason vastauksista on merkitty vihreällä.      </t>
    </r>
  </si>
  <si>
    <t>Not collected</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</si>
  <si>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</si>
  <si>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r>
      <rPr>
        <b/>
        <sz val="11"/>
        <color theme="1"/>
        <rFont val="Verdana"/>
        <family val="2"/>
        <scheme val="major"/>
      </rPr>
      <t>Tarkoitus:</t>
    </r>
    <r>
      <rPr>
        <sz val="11"/>
        <color theme="1"/>
        <rFont val="Verdana"/>
        <family val="2"/>
        <scheme val="major"/>
      </rPr>
      <t xml:space="preserve"> Kaaviot esittävät prosentuaalisen yhteenvedon käytäntöjen toteutumisesta osioittain sekä sen mukaan, mille kypsyystasolle käytäntö on sijoitettu. 
</t>
    </r>
    <r>
      <rPr>
        <b/>
        <sz val="11"/>
        <color theme="1"/>
        <rFont val="Verdana"/>
        <family val="2"/>
        <scheme val="major"/>
      </rPr>
      <t>Tulkinta:</t>
    </r>
    <r>
      <rPr>
        <sz val="11"/>
        <color theme="1"/>
        <rFont val="Verdana"/>
        <family val="2"/>
        <scheme val="major"/>
      </rPr>
      <t xml:space="preserve"> Jokainen pylväs esittää </t>
    </r>
    <r>
      <rPr>
        <b/>
        <i/>
        <sz val="11"/>
        <color theme="1"/>
        <rFont val="Verdana"/>
        <family val="2"/>
        <scheme val="major"/>
      </rPr>
      <t>prosentuaalisen</t>
    </r>
    <r>
      <rPr>
        <b/>
        <sz val="11"/>
        <color theme="1"/>
        <rFont val="Verdana"/>
        <family val="2"/>
        <scheme val="major"/>
      </rPr>
      <t xml:space="preserve"> osuuden</t>
    </r>
    <r>
      <rPr>
        <sz val="11"/>
        <color theme="1"/>
        <rFont val="Verdana"/>
        <family val="2"/>
        <scheme val="major"/>
      </rPr>
      <t xml:space="preserve"> kyseisen osion ja kypsyystason käytäntöjen toteutumisesta. Jotta yksittäinen käytäntö tulkitaan toteutuneeksi, se pitää olla arvioitu joko </t>
    </r>
    <r>
      <rPr>
        <i/>
        <sz val="11"/>
        <color theme="1"/>
        <rFont val="Verdana"/>
        <family val="2"/>
        <scheme val="major"/>
      </rPr>
      <t>enimmäkseen (3)</t>
    </r>
    <r>
      <rPr>
        <sz val="11"/>
        <color theme="1"/>
        <rFont val="Verdana"/>
        <family val="2"/>
        <scheme val="major"/>
      </rPr>
      <t xml:space="preserve"> tai</t>
    </r>
    <r>
      <rPr>
        <i/>
        <sz val="11"/>
        <color theme="1"/>
        <rFont val="Verdana"/>
        <family val="2"/>
        <scheme val="major"/>
      </rPr>
      <t xml:space="preserve"> täysin toteutetuksi (4)</t>
    </r>
    <r>
      <rPr>
        <sz val="11"/>
        <color theme="1"/>
        <rFont val="Verdana"/>
        <family val="2"/>
        <scheme val="major"/>
      </rPr>
      <t xml:space="preserve">. Tällä raportilla mm. kehitystoimien vaikutus näkyy ehkä helpommin kuin </t>
    </r>
    <r>
      <rPr>
        <b/>
        <sz val="11"/>
        <color theme="1"/>
        <rFont val="Verdana"/>
        <family val="2"/>
        <scheme val="major"/>
      </rPr>
      <t>raportilla R2</t>
    </r>
    <r>
      <rPr>
        <sz val="11"/>
        <color theme="1"/>
        <rFont val="Verdana"/>
        <family val="2"/>
        <scheme val="major"/>
      </rPr>
      <t xml:space="preserve">, mutta on huomioitava kyseessä olevan keskiarvo, joten pitää vielä tarkista ettei keskiarvo peitä merkittäviä puutteita osion sisällä. 
Vaikka toteutuneiden käytäntöjen prosentuaalinen osuus olisi 80-90%, voi osion sisällä olla tavoitteita, jotka laskevat osion kypsyystasoa. -&gt; osion kypsyystaso </t>
    </r>
    <r>
      <rPr>
        <b/>
        <sz val="11"/>
        <color theme="1"/>
        <rFont val="Verdana"/>
        <family val="2"/>
        <scheme val="major"/>
      </rPr>
      <t>raportissa R2</t>
    </r>
    <r>
      <rPr>
        <sz val="11"/>
        <color theme="1"/>
        <rFont val="Verdana"/>
        <family val="2"/>
        <scheme val="major"/>
      </rPr>
      <t xml:space="preserve"> on silti alhaisempi kuin keskiarvo antaa olettaa.       </t>
    </r>
  </si>
  <si>
    <t>KYBERMITTARI-46</t>
  </si>
  <si>
    <t>KYBERMITTARI-47</t>
  </si>
  <si>
    <t>KYBERMITTARI-48</t>
  </si>
  <si>
    <t>Tulosten lähetys Kyberturvallisuuskeskukselle (Export_KTK)</t>
  </si>
  <si>
    <t>Osiokohtainen kypsyystaso -raportti (R7)</t>
  </si>
  <si>
    <t>Osiokohtainen kypsyystasoraportti</t>
  </si>
  <si>
    <t>Export av resultat till Cybersäkerhetscentret (Export_KTK)</t>
  </si>
  <si>
    <t>Ämnesområdesspecifik mognadsrapport (R7)</t>
  </si>
  <si>
    <t>Domain specific maturity level report (R7)</t>
  </si>
  <si>
    <t>Osion käytäntöjen toteutuminen kypsyystasoittain (R6)</t>
  </si>
  <si>
    <t xml:space="preserve">Data Export to NCSC-FI (Export_KTK) </t>
  </si>
  <si>
    <t>Passed practices per domain and maturity level (R6)</t>
  </si>
  <si>
    <t>Godkännä praktiken per ämnesområde och mognadsniveau (R6)</t>
  </si>
  <si>
    <t>Kyberturvallisuuden kehityskohteiden raportti (R4)</t>
  </si>
  <si>
    <t>Rapport över utvecklingsobjekt inom cybersäkerhet (R4)</t>
  </si>
  <si>
    <t>Detailed NIST Framework Core report (R3)</t>
  </si>
  <si>
    <t>Cybersecurity improvements report (R4)</t>
  </si>
  <si>
    <t>Yksityiskohtainen NIST Framework Core -raportti (R3)</t>
  </si>
  <si>
    <t>Detaljerad NIST Framework Core-rapport (R3)</t>
  </si>
  <si>
    <t>Import av resultat (Import)</t>
  </si>
  <si>
    <t>Export av resultat (Export)</t>
  </si>
  <si>
    <t>Nivån på investeringar i cybersäkerhet (Investment)</t>
  </si>
  <si>
    <t>Tulosten vienti (Export)</t>
  </si>
  <si>
    <t>Tulosten tuonti (Import)</t>
  </si>
  <si>
    <t>Kyberturvallisuuden investointien taso (Investment)</t>
  </si>
  <si>
    <t>Level of cybersecurity investments (Investment)</t>
  </si>
  <si>
    <t>Data import (Import)</t>
  </si>
  <si>
    <t>Data export (Export)</t>
  </si>
  <si>
    <r>
      <rPr>
        <b/>
        <sz val="11"/>
        <color theme="1"/>
        <rFont val="Verdana"/>
        <family val="2"/>
        <scheme val="major"/>
      </rPr>
      <t>Tarkoitus:</t>
    </r>
    <r>
      <rPr>
        <sz val="11"/>
        <color theme="1"/>
        <rFont val="Verdana"/>
        <family val="2"/>
        <scheme val="major"/>
      </rPr>
      <t xml:space="preserve"> Kaavio esittää koosteen kymmenen osion lopussa arvioiduista </t>
    </r>
    <r>
      <rPr>
        <b/>
        <sz val="11"/>
        <color theme="1"/>
        <rFont val="Verdana"/>
        <family val="2"/>
        <scheme val="major"/>
      </rPr>
      <t>hallintatoimista</t>
    </r>
    <r>
      <rPr>
        <sz val="11"/>
        <color theme="1"/>
        <rFont val="Verdana"/>
        <family val="2"/>
        <scheme val="major"/>
      </rPr>
      <t xml:space="preserve">. 
</t>
    </r>
    <r>
      <rPr>
        <b/>
        <sz val="11"/>
        <color theme="1"/>
        <rFont val="Verdana"/>
        <family val="2"/>
        <scheme val="major"/>
      </rPr>
      <t>Tulkinta:</t>
    </r>
    <r>
      <rPr>
        <sz val="11"/>
        <color theme="1"/>
        <rFont val="Verdana"/>
        <family val="2"/>
        <scheme val="major"/>
      </rPr>
      <t xml:space="preserve"> </t>
    </r>
    <r>
      <rPr>
        <i/>
        <sz val="11"/>
        <color theme="1"/>
        <rFont val="Verdana"/>
        <family val="2"/>
        <scheme val="major"/>
      </rPr>
      <t>Vaakariveillä</t>
    </r>
    <r>
      <rPr>
        <sz val="11"/>
        <color theme="1"/>
        <rFont val="Verdana"/>
        <family val="2"/>
        <scheme val="major"/>
      </rPr>
      <t xml:space="preserve"> erot kertovat kyseisen hallintatoimen toteutusta eri osioiden osalta. Esimerkiksi voidaan nähdä onko jokaisen osion toimintaa varten tarjolla riittävät resurssit (b-rivi).
</t>
    </r>
    <r>
      <rPr>
        <i/>
        <sz val="11"/>
        <color theme="1"/>
        <rFont val="Verdana"/>
        <family val="2"/>
        <scheme val="major"/>
      </rPr>
      <t>Pystyriveillä</t>
    </r>
    <r>
      <rPr>
        <sz val="11"/>
        <color theme="1"/>
        <rFont val="Verdana"/>
        <family val="2"/>
        <scheme val="major"/>
      </rPr>
      <t xml:space="preserve"> erot kertovat onko kyseisen osioon toiminnan hallintatoimet tasapainossa ja riittävällä tasolla.
Rivit a ja b ovat kypsyystason 2 käytäntöjä. 
Rivien c-f käytännöt sijoittuvat kypsyystasolle 3. </t>
    </r>
  </si>
  <si>
    <r>
      <t xml:space="preserve">Tarkoitus: </t>
    </r>
    <r>
      <rPr>
        <sz val="11"/>
        <color theme="1"/>
        <rFont val="Verdana"/>
        <family val="2"/>
        <scheme val="major"/>
      </rPr>
      <t>Lista toteuttamattomista kypsyystason käytännöistä.</t>
    </r>
    <r>
      <rPr>
        <b/>
        <sz val="11"/>
        <color theme="1"/>
        <rFont val="Verdana"/>
        <family val="2"/>
        <scheme val="major"/>
      </rPr>
      <t xml:space="preserve"> 
Tulkinta: </t>
    </r>
    <r>
      <rPr>
        <sz val="11"/>
        <color theme="1"/>
        <rFont val="Verdana"/>
        <family val="2"/>
        <scheme val="major"/>
      </rPr>
      <t xml:space="preserve">Listalla on kaikki kypsyystason 1 käytännöt, joissa vastaus ei ole vähintään tasolla </t>
    </r>
    <r>
      <rPr>
        <i/>
        <sz val="11"/>
        <color theme="1"/>
        <rFont val="Verdana"/>
        <family val="2"/>
        <scheme val="major"/>
      </rPr>
      <t xml:space="preserve">3 - enimmäkseen toteutettu. Kun lista on tyhjä, arvionnin tulos on jokaisessa osiossa vähintään kypsyystasolla 1. 
Listaa voi hyödyntää mm. kehityskohteiden tunnistamisessa.
</t>
    </r>
  </si>
  <si>
    <t>I enlighet med referensramen NIST Cybersecurity (CSF v1.1)</t>
  </si>
  <si>
    <t xml:space="preserve"> NIST Cybersecurity (CSF v1.1) -viitekehyksen mukaisesti</t>
  </si>
  <si>
    <t xml:space="preserve"> Following NIST Cybersecurity Framework Core (CSF v1.1)</t>
  </si>
  <si>
    <r>
      <t xml:space="preserve">Tarkoitus: </t>
    </r>
    <r>
      <rPr>
        <sz val="11"/>
        <color theme="1"/>
        <rFont val="Verdana"/>
        <family val="2"/>
        <scheme val="major"/>
      </rPr>
      <t xml:space="preserve">Raportilla esitetään osiokohtaiset tulokset pylväsdiagrammina sekä taulukoinnissa listataan osioiden lisäksi myös tavoitekohtaiset kypsyystasot.  </t>
    </r>
    <r>
      <rPr>
        <b/>
        <sz val="11"/>
        <color theme="1"/>
        <rFont val="Verdana"/>
        <family val="2"/>
        <scheme val="major"/>
      </rPr>
      <t xml:space="preserve">
Tulkinta: </t>
    </r>
    <r>
      <rPr>
        <sz val="11"/>
        <color theme="1"/>
        <rFont val="Verdana"/>
        <family val="2"/>
        <scheme val="major"/>
      </rPr>
      <t xml:space="preserve">Tulokset esitetään yhdentoista Kybermittarin kypsyystasoa esittävän osion mukaisesti. Jokaisen osion kypsyystaso esitetään tasoille nollasta kolmeen. Osiokohtaisen kuvaajan lisäksi, raportti esittää jokaisen tavoitteen kypsyystason. 
</t>
    </r>
    <r>
      <rPr>
        <b/>
        <sz val="11"/>
        <color theme="1"/>
        <rFont val="Verdana"/>
        <family val="2"/>
        <scheme val="major"/>
      </rPr>
      <t>Kypsyysmalli.</t>
    </r>
    <r>
      <rPr>
        <sz val="11"/>
        <color theme="1"/>
        <rFont val="Verdana"/>
        <family val="2"/>
        <scheme val="major"/>
      </rPr>
      <t xml:space="preserve"> Kypsyystasojen laskentamalli noudattaa Kybermittarin laskentamallia. Huomionarvoista on, että C2M2-mallin pisteytykseen verrattuna Kybermittari käyttää kevennettyä arviointia kypsyystasoilla 2 ja 3. Tason voi saavuttaa, kun vähintään 50% kyseisen tason käytännöistä on täytetty kunkin tavoitteen osalta. C2M2-viitekehyksen käytäntöjen lisäksi Kybermittarissa on Kriittisten palveluiden suojaamista arvioiva CRITICAL-välilehti.
</t>
    </r>
    <r>
      <rPr>
        <b/>
        <sz val="11"/>
        <color theme="1"/>
        <rFont val="Verdana"/>
        <family val="2"/>
        <scheme val="major"/>
      </rPr>
      <t>Taso 0:</t>
    </r>
    <r>
      <rPr>
        <sz val="11"/>
        <color theme="1"/>
        <rFont val="Verdana"/>
        <family val="2"/>
        <scheme val="major"/>
      </rPr>
      <t xml:space="preserve"> Toiminta ei täytä perustavanlaatuisia vaatimuksia; 
</t>
    </r>
    <r>
      <rPr>
        <b/>
        <sz val="11"/>
        <color theme="1"/>
        <rFont val="Verdana"/>
        <family val="2"/>
        <scheme val="major"/>
      </rPr>
      <t>Taso 1:</t>
    </r>
    <r>
      <rPr>
        <sz val="11"/>
        <color theme="1"/>
        <rFont val="Verdana"/>
        <family val="2"/>
        <scheme val="major"/>
      </rPr>
      <t xml:space="preserve"> Toiminta täyttää perustavanlaatuiset vaatimukset, mutta voi olla vielä ajoittaista ja toiminnan taso voi vaihdella tapauskohtaisesti; 
</t>
    </r>
    <r>
      <rPr>
        <b/>
        <sz val="11"/>
        <color theme="1"/>
        <rFont val="Verdana"/>
        <family val="2"/>
        <scheme val="major"/>
      </rPr>
      <t>Taso 2:</t>
    </r>
    <r>
      <rPr>
        <sz val="11"/>
        <color theme="1"/>
        <rFont val="Verdana"/>
        <family val="2"/>
        <scheme val="major"/>
      </rPr>
      <t xml:space="preserve"> Toiminta on edistyneempää ja kattavampaa kuin alemmalla tasolla, minkä lisäksi kyberturvallisuuden hallintaa kuvaavat: 
- Dokumentoidut prosessit ja käytänteet; 
- Riittävä resursointi ja osaaminen; sekä 
- Määritetyt roolit ja vastuut. 
</t>
    </r>
    <r>
      <rPr>
        <b/>
        <sz val="11"/>
        <color theme="1"/>
        <rFont val="Verdana"/>
        <family val="2"/>
        <scheme val="major"/>
      </rPr>
      <t>Taso 3:</t>
    </r>
    <r>
      <rPr>
        <sz val="11"/>
        <color theme="1"/>
        <rFont val="Verdana"/>
        <family val="2"/>
        <scheme val="major"/>
      </rPr>
      <t xml:space="preserve"> Toiminta on edistynyttä ja kattavaa, minkä lisäksi kyberturvallisuuden hallintaa kuvaavat: 
- Toimintaa ohjaa organisaation politiikka (tai vastaava ohjeistus); 
- Toiminnalle on asetettu suoritustavoitteet, joita seurataan; sekä 
- Dokumentoidut prosessit ja käytänteet ovat organisaation normien mukaisia ja niiden kehitys on jatkuvaa. 
</t>
    </r>
  </si>
  <si>
    <r>
      <rPr>
        <b/>
        <sz val="11"/>
        <color theme="1"/>
        <rFont val="Verdana"/>
        <family val="2"/>
        <scheme val="major"/>
      </rPr>
      <t>Tarkoitus:</t>
    </r>
    <r>
      <rPr>
        <sz val="11"/>
        <color theme="1"/>
        <rFont val="Verdana"/>
        <family val="2"/>
        <scheme val="major"/>
      </rPr>
      <t xml:space="preserve"> Osiot-välilehtien ohjelaatikoiden valinnainen sisältö.
</t>
    </r>
    <r>
      <rPr>
        <b/>
        <sz val="11"/>
        <color theme="1"/>
        <rFont val="Verdana"/>
        <family val="2"/>
        <scheme val="major"/>
      </rPr>
      <t>Tiedot:</t>
    </r>
    <r>
      <rPr>
        <sz val="11"/>
        <color theme="1"/>
        <rFont val="Verdana"/>
        <family val="2"/>
        <scheme val="major"/>
      </rPr>
      <t xml:space="preserve"> Laatikkoihin kirjoitettu teksti tulee kieliversioista riippuen kyseisen välilehden oikeassa yläkulmassa olevaan ohjelaatikkoon. Tukee tarvittaessa siis myös eri kieliversioita. 
Ei sisällä vielä raporttien ym. Vinkkilaatikoiden sisältöä, joille ei ole totetutettu vielä käännöksiä. </t>
    </r>
  </si>
  <si>
    <r>
      <rPr>
        <b/>
        <sz val="11"/>
        <color theme="1"/>
        <rFont val="Verdana"/>
        <family val="2"/>
        <scheme val="major"/>
      </rPr>
      <t xml:space="preserve">Tarkoitus: </t>
    </r>
    <r>
      <rPr>
        <sz val="11"/>
        <color theme="1"/>
        <rFont val="Verdana"/>
        <family val="2"/>
        <scheme val="major"/>
      </rPr>
      <t xml:space="preserve">tämä välilehti koostaa tulokset muista taulukoista, pääosin osiosta ja DATA-välilehdeltä, yhteen, jotta ne on helpompi siirtää uuteen taulukkoon tai muualle analysoitavaksi.
Jos esimerkiksi sarakkeet H-L kopioi </t>
    </r>
    <r>
      <rPr>
        <b/>
        <sz val="11"/>
        <color theme="1"/>
        <rFont val="Verdana"/>
        <family val="2"/>
        <scheme val="major"/>
      </rPr>
      <t>Import-</t>
    </r>
    <r>
      <rPr>
        <sz val="11"/>
        <color theme="1"/>
        <rFont val="Verdana"/>
        <family val="2"/>
        <scheme val="major"/>
      </rPr>
      <t xml:space="preserve">välilehdelle sarakkeisiin D-H (liitä arvot, paste values) niin ne näkyvät jokaisen osion välilehdellä oikeanpuoleisessa taulukossa. Tämä voi olla hyödyllistä, jos esimerkiksi halutaan vertailua edellisen arvioinnin tuloksiin.   
Kyberturvallisuuskeskukselle tulosten jakoa varten on olemassa Export_KTK välilehti. Export_KTK kannattaa lähetystä varten tallentaa CSV-muotoon. </t>
    </r>
  </si>
  <si>
    <r>
      <rPr>
        <b/>
        <sz val="11"/>
        <color theme="1"/>
        <rFont val="Verdana"/>
        <family val="2"/>
        <scheme val="major"/>
      </rPr>
      <t>Tarkoitus:</t>
    </r>
    <r>
      <rPr>
        <sz val="11"/>
        <color theme="1"/>
        <rFont val="Verdana"/>
        <family val="2"/>
        <scheme val="major"/>
      </rPr>
      <t xml:space="preserve">  Tarkoituksena lisätä vertailutietoa raporteille R1 ja R2 sekä soveltua tietojen tuomisen jokaisen osion välilehdelle sarakkeisiin O-S.
</t>
    </r>
    <r>
      <rPr>
        <b/>
        <sz val="11"/>
        <color theme="1"/>
        <rFont val="Verdana"/>
        <family val="2"/>
        <scheme val="major"/>
      </rPr>
      <t xml:space="preserve">Tulkinta: </t>
    </r>
    <r>
      <rPr>
        <sz val="11"/>
        <color theme="1"/>
        <rFont val="Verdana"/>
        <family val="2"/>
        <scheme val="major"/>
      </rPr>
      <t>Tällä hetkellä käytetään tietoja alkaen riviltä 81, ACCESS-1a riville 449,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Verdana"/>
        <family val="2"/>
        <scheme val="major"/>
      </rPr>
      <t>liitä arvot / paste values</t>
    </r>
    <r>
      <rPr>
        <sz val="11"/>
        <color theme="1"/>
        <rFont val="Verdana"/>
        <family val="2"/>
        <scheme val="major"/>
      </rPr>
      <t xml:space="preserve">" alueelle G22-K54.
</t>
    </r>
    <r>
      <rPr>
        <b/>
        <sz val="11"/>
        <color theme="1"/>
        <rFont val="Verdana"/>
        <family val="2"/>
        <scheme val="major"/>
      </rPr>
      <t xml:space="preserve"> </t>
    </r>
    <r>
      <rPr>
        <sz val="11"/>
        <color theme="1"/>
        <rFont val="Verdana"/>
        <family val="2"/>
        <scheme val="major"/>
      </rPr>
      <t xml:space="preserve">   </t>
    </r>
  </si>
  <si>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</si>
  <si>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</si>
  <si>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r>
      <t xml:space="preserve">Tarkoitus: </t>
    </r>
    <r>
      <rPr>
        <sz val="11"/>
        <color theme="1"/>
        <rFont val="Verdana"/>
        <family val="2"/>
        <scheme val="major"/>
      </rPr>
      <t>Muutoshistoria täyttävän organisaation omaan käyttöön</t>
    </r>
  </si>
  <si>
    <t>Muutokset</t>
  </si>
  <si>
    <t>Yhteyshenkilön sähköposti</t>
  </si>
  <si>
    <t>Contact person, email</t>
  </si>
  <si>
    <t>Kontaktperson, e-post</t>
  </si>
  <si>
    <t>KYBERMITTARI-24</t>
  </si>
  <si>
    <t>Y-tunnus</t>
  </si>
  <si>
    <t>Business ID</t>
  </si>
  <si>
    <t>FO-nummer</t>
  </si>
  <si>
    <t>C_id</t>
  </si>
  <si>
    <t>ACCESS-1h</t>
  </si>
  <si>
    <t>ACCESS-1i</t>
  </si>
  <si>
    <t>ACCESS-1j</t>
  </si>
  <si>
    <t>ACCESS-3j</t>
  </si>
  <si>
    <t>ARCHITECTURE-1k</t>
  </si>
  <si>
    <t>ARCHITECTURE-3k</t>
  </si>
  <si>
    <t>ARCHITECTURE-3l</t>
  </si>
  <si>
    <t>ARCHITECTURE-3m</t>
  </si>
  <si>
    <t>ASSET-4g</t>
  </si>
  <si>
    <t>ASSET-4h</t>
  </si>
  <si>
    <t>ASSET-4i</t>
  </si>
  <si>
    <t>RESPONSE-3l</t>
  </si>
  <si>
    <t>SITUATION-1f</t>
  </si>
  <si>
    <t>THIRD-PARTIES</t>
  </si>
  <si>
    <t>THIRD-PARTIES-0</t>
  </si>
  <si>
    <t>THIRD-PARTIES-1</t>
  </si>
  <si>
    <t>THIRD-PARTIES-1-0</t>
  </si>
  <si>
    <t>THIRD-PARTIES-1a</t>
  </si>
  <si>
    <t>THIRD-PARTIES-1b</t>
  </si>
  <si>
    <t>THIRD-PARTIES-1c</t>
  </si>
  <si>
    <t>THIRD-PARTIES-1d</t>
  </si>
  <si>
    <t>THIRD-PARTIES-1e</t>
  </si>
  <si>
    <t>THIRD-PARTIES-1f</t>
  </si>
  <si>
    <t>THIRD-PARTIES-2</t>
  </si>
  <si>
    <t>THIRD-PARTIES-2-0</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</si>
  <si>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</si>
  <si>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</si>
  <si>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</si>
  <si>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</si>
  <si>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</si>
  <si>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</si>
  <si>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</si>
  <si>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</si>
  <si>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</si>
  <si>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</si>
  <si>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</si>
  <si>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</si>
  <si>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</si>
  <si>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t>
  </si>
  <si>
    <t>THIRD-PARTIES-3-0</t>
  </si>
  <si>
    <t>THIRD-PARTIES-3a</t>
  </si>
  <si>
    <t>THIRD-PARTIES-3b</t>
  </si>
  <si>
    <t>THIRD-PARTIES-3c</t>
  </si>
  <si>
    <t>THIRD-PARTIES-3d</t>
  </si>
  <si>
    <t>THIRD-PARTIES-3e</t>
  </si>
  <si>
    <t>THIRD-PARTIES-3f</t>
  </si>
  <si>
    <t>THREAT-1m</t>
  </si>
  <si>
    <t>WORKFORCE-1g</t>
  </si>
  <si>
    <t>WORKFORCE-2g</t>
  </si>
  <si>
    <t>WORKFORCE-4f</t>
  </si>
  <si>
    <t>Password strength and reuse restrictions are defined and enforced</t>
  </si>
  <si>
    <t>Identity repositories are reviewed and updated periodically and according to defined triggers, such as system changes and changes to organizational structure</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</si>
  <si>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</si>
  <si>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</si>
  <si>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Multifactor authentication is required for all access, where feasible</t>
  </si>
  <si>
    <t>Identities are disabled after a defined period of inactivity, where feasible</t>
  </si>
  <si>
    <t>Logical access privileges are revoked when no longer needed, at least in an ad hoc manner</t>
  </si>
  <si>
    <t>Logical access requirements are established and maintained (for example, rules for which types of entities are allowed to access an asset, limits of allowed access, constraints on remote access, authentication parameters)</t>
  </si>
  <si>
    <t>Logical access requirements incorporate the principle of separation of duties</t>
  </si>
  <si>
    <t>Logical access privileges that pose higher risk to the function receive additional scrutiny and monitoring</t>
  </si>
  <si>
    <t>Anomalous logical access attempts are monitored as indicators of cybersecurity events</t>
  </si>
  <si>
    <t>Physical access privileges are revoked when no longer needed, at least in an ad hoc manner</t>
  </si>
  <si>
    <t>Physical access requirements are established and maintained (for example, rules for who is allowed to access an asset, how access is granted, limits of allowed access)</t>
  </si>
  <si>
    <t>Physical access requirements incorporate the principle of separation of duties</t>
  </si>
  <si>
    <t>Physical access privileges that pose higher risk to the function receive additional scrutiny and monitoring</t>
  </si>
  <si>
    <t>A strategy for cybersecurity architecture is established and maintained in alignment with the organization’s cybersecurity program strategy (PROGRAM-1b) and enterprise architecture</t>
  </si>
  <si>
    <t>Governance for cybersecurity architecture (such as an architecture review process) is established and maintained that includes provisions for periodic architectural reviews and an exceptions process</t>
  </si>
  <si>
    <t>Senior management sponsorship for the cybersecurity architecture program is visible and active</t>
  </si>
  <si>
    <t>The cybersecurity architecture is guided by the organization’s risk analysis information (RISK-3d) and threat profile (THREAT-2e)</t>
  </si>
  <si>
    <t>The cybersecurity architecture addresses predefined states of operation (SITUATION-3g)</t>
  </si>
  <si>
    <t>Network protections are implemented, at least in an ad hoc manner</t>
  </si>
  <si>
    <t>Assets that are important to the delivery of the function are logically or physically segmented into distinct security zones based on asset cybersecurity requirements</t>
  </si>
  <si>
    <t>Network protections include monitoring, analysis, and control of network traffic for selected security zones (for example, firewalls, allowlisting, intrusion detection and prevention systems (IDPS))</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</si>
  <si>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</si>
  <si>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</si>
  <si>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Device connections to the network are controlled to ensure that only authorized devices can connect (for example, network access control (NAC))</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</si>
  <si>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</si>
  <si>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</si>
  <si>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Secure configurations are established and maintained as part of the asset deployment process where feasible</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</si>
  <si>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</si>
  <si>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</si>
  <si>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</si>
  <si>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</si>
  <si>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Controls (such as allowlists, blocklists, and configuration settings) are implemented to prevent the execution of unauthorized code</t>
  </si>
  <si>
    <t>Software developed in-house for deployment on higher priority assets is developed using secure software development practices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</si>
  <si>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</si>
  <si>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</si>
  <si>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All data at rest is protected for selected data categories</t>
  </si>
  <si>
    <t>All data in transit is protected for selected data categories</t>
  </si>
  <si>
    <t>Cryptographic controls are implemented for data at rest and data in transit for selected data categories</t>
  </si>
  <si>
    <t>IT and OT assets that are important to the delivery of the function are inventoried, at least in an ad hoc manner</t>
  </si>
  <si>
    <t>Prioritization criteria include consideration of the degree to which an asset within the function may be leveraged to achieve a threat objective</t>
  </si>
  <si>
    <t>The IT and OT inventory includes attributes that support cybersecurity activities (for example, location, asset priority, asset owner, operating system, and firmware versions)</t>
  </si>
  <si>
    <t>The IT and OT asset inventory is complete (the inventory includes all assets within the function)</t>
  </si>
  <si>
    <t>Information assets that are important to the delivery of the function (for example, SCADA set points and customer information) are inventoried, at least in an ad hoc manner</t>
  </si>
  <si>
    <t>Inventoried information assets are categorized based on defined criteria that includes importance to the delivery of the function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</si>
  <si>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</si>
  <si>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</si>
  <si>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</si>
  <si>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Information assets are sanitized or destroyed at end of life using techniques appropriate to their cybersecurity requirements</t>
  </si>
  <si>
    <t>Configuration baselines incorporate applicable requirements from the cybersecurity architecture (ARCHITECTURE-1f)</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</si>
  <si>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</si>
  <si>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</si>
  <si>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</si>
  <si>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</si>
  <si>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</si>
  <si>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</si>
  <si>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Changes to higher priority assets are tested for cybersecurity impact prior to being deployed</t>
  </si>
  <si>
    <t>Change logs include information about modifications that impact the cybersecurity requirements of assets</t>
  </si>
  <si>
    <t>The cybersecurity program strategy and priorities are documented and aligned with the organization’s mission, strategic objectives, and risk to critical infrastructure</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</si>
  <si>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</si>
  <si>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</si>
  <si>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The cybersecurity program addresses and enables the achievement of legal and regulatory compliance, as appropriate</t>
  </si>
  <si>
    <t>Detected cybersecurity events are reported to a specified person or role and documented, at least in an ad hoc manner</t>
  </si>
  <si>
    <t>Cybersecurity events are documented based on the established criteria</t>
  </si>
  <si>
    <t>Cybersecurity event detection activities are adjusted based on identified risks and the organization’s threat profile (THREAT-2e)</t>
  </si>
  <si>
    <t>Cybersecurity incident declaration criteria are formally established based on potential impact to the function</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</si>
  <si>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</si>
  <si>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</si>
  <si>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Cybersecurity incidents are correlated to identify patterns, trends, and other common features across multiple incidents</t>
  </si>
  <si>
    <t>Cybersecurity incident response personnel are identified, and roles are assigned, at least in an ad hoc manner</t>
  </si>
  <si>
    <t>Responses to cybersecurity incidents are executed, at least in an ad hoc manner, to limit impact to the function and restore normal operations</t>
  </si>
  <si>
    <t>Cybersecurity incident response is executed according to defined plans and procedures</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</si>
  <si>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</si>
  <si>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</si>
  <si>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</si>
  <si>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</si>
  <si>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</si>
  <si>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Cybersecurity incident response personnel participate in joint cybersecurity exercises with other organizations</t>
  </si>
  <si>
    <t>Cybersecurity incident responses leverage and trigger predefined states of operation (SITUATION-3g)</t>
  </si>
  <si>
    <t>Continuity plans address potential impacts from cybersecurity incidents</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</si>
  <si>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</si>
  <si>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</si>
  <si>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controls protecting backup data are equivalent to or more rigorous than controls protecting source data</t>
  </si>
  <si>
    <t>Continuity plans are aligned with identified risks and the organization’s threat profile (THREAT-2e) to ensure coverage of identified risk categories and threats</t>
  </si>
  <si>
    <t>Continuity plan exercises address higher priority risks</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</si>
  <si>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</si>
  <si>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</si>
  <si>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</si>
  <si>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</si>
  <si>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</si>
  <si>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A defined method is used to identify cyber risks</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</si>
  <si>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</si>
  <si>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</si>
  <si>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</si>
  <si>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</si>
  <si>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</si>
  <si>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</si>
  <si>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</si>
  <si>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</si>
  <si>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</si>
  <si>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</si>
  <si>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Risk responses (such as mitigate, accept, avoid, or transfer) are implemented to address cyber risks, at least in an ad hoc manner</t>
  </si>
  <si>
    <t>Results from cyber risk impact analyses and cybersecurity control evaluations are reviewed together by enterprise leadership to determine whether cyber risks are sufficiently mitigated, and risk tolerances are not exceeded</t>
  </si>
  <si>
    <t>Logging is occurring for assets that are important to the delivery of the function, at least in an ad hoc manner</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</si>
  <si>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</si>
  <si>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</si>
  <si>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More rigorous logging is performed for higher priority assets</t>
  </si>
  <si>
    <t>Data and alerts from network and host monitoring infrastructure assets are periodically reviewed, at least in an ad hoc manner</t>
  </si>
  <si>
    <t>Monitoring activities are aligned with the threat profile (THREAT-2e)</t>
  </si>
  <si>
    <t>More rigorous monitoring is performed for higher priority assets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</si>
  <si>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</si>
  <si>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</si>
  <si>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</si>
  <si>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</si>
  <si>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Cybersecurity requirements (for example, vulnerability notification, incident-related SLA requirements) are formalized in agreements with suppliers and other third parties</t>
  </si>
  <si>
    <t>Selection criteria for products include consideration of end-of-life and end-of-support timelines</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</si>
  <si>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</si>
  <si>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</si>
  <si>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</si>
  <si>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Documented procedures are established, followed, and maintained for activities in the THIRD-PARTIES domain</t>
  </si>
  <si>
    <t>Responsibility, accountability, and authority for the performance of activities in the THIRD-PARTIES domain are assigned to personnel</t>
  </si>
  <si>
    <t>Cybersecurity vulnerability information sources that collectively address higher priority assets are monitored</t>
  </si>
  <si>
    <t>Operational impact to the function is evaluated prior to deploying patches or other mitigations</t>
  </si>
  <si>
    <t>Information on discovered cybersecurity vulnerabilities is shared with organization-defined stakeholders</t>
  </si>
  <si>
    <t>Cybersecurity vulnerability information sources that collectively address all IT and OT assets within the function are monitored</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</si>
  <si>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</si>
  <si>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</si>
  <si>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Information about cybersecurity threats is gathered and interpreted for the function, at least in an ad hoc manner</t>
  </si>
  <si>
    <t>Threat objectives for the function are identified, at least in an ad hoc manner</t>
  </si>
  <si>
    <t>A threat profile for the function is established that includes threat objectives and additional threat characteristics (for example, threat actor types, motives, capabilities, and targets)</t>
  </si>
  <si>
    <t>Threat information is exchanged with stakeholders (for example, executives, operations staff, government, connected organizations, vendors, sector organizations, regulators, Information Sharing and Analysis Centers [ISACs])</t>
  </si>
  <si>
    <t>Threat monitoring and response activities leverage and trigger predefined states of operation (SITUATION-3g)</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</si>
  <si>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</si>
  <si>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</si>
  <si>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</si>
  <si>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</si>
  <si>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</si>
  <si>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</si>
  <si>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</si>
  <si>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</si>
  <si>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</si>
  <si>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</si>
  <si>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3l</t>
  </si>
  <si>
    <t>3m</t>
  </si>
  <si>
    <t>1m</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</si>
  <si>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</si>
  <si>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</si>
  <si>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</si>
  <si>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Kuvaava teksti</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</si>
  <si>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</si>
  <si>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</si>
  <si>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</si>
  <si>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</si>
  <si>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</si>
  <si>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</si>
  <si>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</si>
  <si>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</si>
  <si>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</si>
  <si>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</si>
  <si>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</si>
  <si>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</si>
  <si>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</si>
  <si>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</si>
  <si>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</si>
  <si>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</si>
  <si>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</si>
  <si>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</si>
  <si>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</si>
  <si>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</si>
  <si>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</si>
  <si>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</si>
  <si>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</si>
  <si>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</si>
  <si>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</si>
  <si>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</si>
  <si>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</si>
  <si>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</si>
  <si>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</si>
  <si>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</si>
  <si>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</si>
  <si>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</si>
  <si>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</si>
  <si>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</si>
  <si>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</si>
  <si>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</si>
  <si>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</si>
  <si>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</si>
  <si>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</si>
  <si>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</si>
  <si>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</si>
  <si>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</si>
  <si>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</si>
  <si>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</si>
  <si>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</si>
  <si>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</si>
  <si>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</si>
  <si>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</si>
  <si>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</si>
  <si>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</si>
  <si>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</si>
  <si>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</si>
  <si>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</si>
  <si>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</si>
  <si>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</si>
  <si>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</si>
  <si>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</si>
  <si>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</si>
  <si>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</si>
  <si>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</si>
  <si>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</si>
  <si>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</si>
  <si>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</si>
  <si>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</si>
  <si>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</si>
  <si>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</si>
  <si>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</si>
  <si>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</si>
  <si>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</si>
  <si>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</si>
  <si>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</si>
  <si>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</si>
  <si>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</si>
  <si>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Prior to deployment of software on an asset, configuration settings should be reviewed to ensure that they align with cybersecurity requirements for the asset. Misconfiguration of software could introduce vulnerabilities that could be leveraged by an attacker.</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</si>
  <si>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</si>
  <si>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</si>
  <si>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</si>
  <si>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</si>
  <si>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</si>
  <si>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</si>
  <si>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</si>
  <si>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</si>
  <si>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</si>
  <si>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</si>
  <si>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</si>
  <si>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</si>
  <si>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</si>
  <si>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</si>
  <si>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</si>
  <si>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</si>
  <si>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</si>
  <si>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</si>
  <si>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</si>
  <si>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</si>
  <si>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</si>
  <si>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</si>
  <si>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</si>
  <si>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</si>
  <si>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</si>
  <si>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</si>
  <si>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</si>
  <si>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</si>
  <si>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</si>
  <si>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</si>
  <si>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</si>
  <si>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</si>
  <si>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</si>
  <si>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</si>
  <si>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</si>
  <si>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</si>
  <si>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</si>
  <si>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</si>
  <si>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</si>
  <si>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</si>
  <si>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</si>
  <si>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</si>
  <si>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</si>
  <si>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</si>
  <si>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</si>
  <si>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</si>
  <si>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</si>
  <si>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</si>
  <si>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</si>
  <si>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</si>
  <si>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</si>
  <si>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</si>
  <si>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</si>
  <si>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</si>
  <si>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</si>
  <si>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</si>
  <si>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</si>
  <si>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</si>
  <si>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</si>
  <si>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</si>
  <si>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</si>
  <si>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</si>
  <si>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</si>
  <si>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</si>
  <si>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</si>
  <si>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</si>
  <si>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</si>
  <si>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</si>
  <si>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</si>
  <si>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</si>
  <si>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</si>
  <si>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</si>
  <si>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</si>
  <si>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</si>
  <si>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</si>
  <si>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</si>
  <si>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</si>
  <si>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</si>
  <si>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</si>
  <si>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</si>
  <si>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</si>
  <si>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</si>
  <si>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</si>
  <si>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</si>
  <si>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</si>
  <si>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</si>
  <si>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</si>
  <si>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</si>
  <si>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</si>
  <si>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</si>
  <si>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</si>
  <si>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</si>
  <si>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</si>
  <si>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</si>
  <si>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</si>
  <si>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</si>
  <si>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</si>
  <si>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</si>
  <si>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</si>
  <si>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</si>
  <si>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</si>
  <si>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</si>
  <si>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</si>
  <si>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</si>
  <si>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</si>
  <si>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</si>
  <si>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</si>
  <si>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</si>
  <si>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</si>
  <si>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Continuity plans address the most critical business functions of the organization to ensure they continue during different types of emergencies. Therefore, to help ensure that continuity plans cover all the actions that need to be taken when certain types of cyber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</si>
  <si>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</si>
  <si>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</si>
  <si>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</si>
  <si>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 link should be established between incident response and continuity activities. Determine the conditions under which a continuity plan must be executed and ensure that the incident response personnel and owners of continuity plans understand these conditions.</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</si>
  <si>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</si>
  <si>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</si>
  <si>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</si>
  <si>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</si>
  <si>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When developing continuity plans, the organization should review the function’s risk categories and threat profile to help ensure that continuity plans are developed for all potential types of cyber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</si>
  <si>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</si>
  <si>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</si>
  <si>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</si>
  <si>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</si>
  <si>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</si>
  <si>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</si>
  <si>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</si>
  <si>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</si>
  <si>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</si>
  <si>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</si>
  <si>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</si>
  <si>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</si>
  <si>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</si>
  <si>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</si>
  <si>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</si>
  <si>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</si>
  <si>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</si>
  <si>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</si>
  <si>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</si>
  <si>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</si>
  <si>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</si>
  <si>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</si>
  <si>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</si>
  <si>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</si>
  <si>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</si>
  <si>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</si>
  <si>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</si>
  <si>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</si>
  <si>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</si>
  <si>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</si>
  <si>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</si>
  <si>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</si>
  <si>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</si>
  <si>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</si>
  <si>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</si>
  <si>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</si>
  <si>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</si>
  <si>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</si>
  <si>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</si>
  <si>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</si>
  <si>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</si>
  <si>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</si>
  <si>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</si>
  <si>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</si>
  <si>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</si>
  <si>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</si>
  <si>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</si>
  <si>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</si>
  <si>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</si>
  <si>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</si>
  <si>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</si>
  <si>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</si>
  <si>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</si>
  <si>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</si>
  <si>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</si>
  <si>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</si>
  <si>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</si>
  <si>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</si>
  <si>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</si>
  <si>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</si>
  <si>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</si>
  <si>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</si>
  <si>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</si>
  <si>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</si>
  <si>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</si>
  <si>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</si>
  <si>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</si>
  <si>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</si>
  <si>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</si>
  <si>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</si>
  <si>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</si>
  <si>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</si>
  <si>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</si>
  <si>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</si>
  <si>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</si>
  <si>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</si>
  <si>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</si>
  <si>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</si>
  <si>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</si>
  <si>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</si>
  <si>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</si>
  <si>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</si>
  <si>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qualifications for suppliers and other third parties might include, for example, maintaining a specified level of cybersecurity control implementation, previous cyber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</si>
  <si>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</si>
  <si>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</si>
  <si>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</si>
  <si>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</si>
  <si>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</si>
  <si>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</si>
  <si>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</si>
  <si>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</si>
  <si>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</si>
  <si>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</si>
  <si>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</si>
  <si>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</si>
  <si>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</si>
  <si>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</si>
  <si>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</si>
  <si>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</si>
  <si>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</si>
  <si>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</si>
  <si>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</si>
  <si>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</si>
  <si>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</si>
  <si>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</si>
  <si>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</si>
  <si>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</si>
  <si>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</si>
  <si>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</si>
  <si>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</si>
  <si>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</si>
  <si>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</si>
  <si>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</si>
  <si>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</si>
  <si>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</si>
  <si>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</si>
  <si>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</si>
  <si>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</si>
  <si>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</si>
  <si>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</si>
  <si>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</si>
  <si>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</si>
  <si>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</si>
  <si>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</si>
  <si>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</si>
  <si>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</si>
  <si>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</si>
  <si>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</si>
  <si>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</si>
  <si>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</si>
  <si>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</si>
  <si>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</si>
  <si>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</si>
  <si>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</si>
  <si>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</si>
  <si>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</si>
  <si>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</si>
  <si>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</si>
  <si>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</si>
  <si>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</si>
  <si>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</si>
  <si>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</si>
  <si>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</si>
  <si>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</si>
  <si>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</si>
  <si>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</si>
  <si>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</si>
  <si>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</si>
  <si>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</si>
  <si>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</si>
  <si>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</si>
  <si>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</si>
  <si>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</si>
  <si>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</si>
  <si>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</si>
  <si>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</si>
  <si>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</si>
  <si>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</si>
  <si>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</si>
  <si>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</si>
  <si>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</si>
  <si>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</si>
  <si>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</si>
  <si>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</si>
  <si>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</si>
  <si>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</si>
  <si>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</si>
  <si>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</si>
  <si>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</si>
  <si>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</si>
  <si>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</si>
  <si>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 xml:space="preserve">Organisaation johto tukee aktiivisesti ja näkyvästi organisaation kyberarkkitehtuuria (ja sen kehitystä). </t>
  </si>
  <si>
    <t>Kyberturvallisuusarkkitehtuurin kehitystä ohjaavat organisaation riskiarviointien tulokset [kts. RISK-3d] sekä organisaation uhkaprofiili [kts. THREAT-2e].</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</si>
  <si>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</si>
  <si>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</si>
  <si>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</si>
  <si>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</si>
  <si>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</si>
  <si>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</si>
  <si>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</si>
  <si>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</si>
  <si>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</si>
  <si>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</si>
  <si>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</si>
  <si>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</si>
  <si>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</si>
  <si>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</si>
  <si>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Korkean prioriteetin laitteisiin tai ohjelmistoihin [kts. ASSET-1c] tehtävien ohjelmisto- ja sovellushankintojen valinnassa huomioidaan, miten toimittaja noudattaa turvallisen sovelluskehityksen periaatteita.</t>
  </si>
  <si>
    <t>Ohjelmistojen ja sovellusten käyttöönottoprosessissa edellytetään turvallisia ohjelmistokonfiguraatioita (sekä sisäisesti kehitettyjen että hankittujen ohjelmistojen osalta)</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</si>
  <si>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</si>
  <si>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</si>
  <si>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</si>
  <si>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Toiminnon kannalta tärkeistä IT- ja OT-laitteista ja ohjelmistoista on olemassa rekisteri. (Huomioi myös mahdollisten OT-ympäristöjen laitteet ja ohjelmistot). Tasolla 1 rekisterin ylläpidon ei tarvitse olla systemaattista ja säännöllistä.</t>
  </si>
  <si>
    <t>Priorisointikriteereissä huomioidaan lisäksi missä laajuudessa hyökkääjä voisi käyttää laitetta tai ohjelmistoa [ks. ASSET-1b] tavoitteensa saavuttamiseen (tietomurto, toiminnan häiriö jne.).</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</si>
  <si>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</si>
  <si>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</si>
  <si>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</si>
  <si>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</si>
  <si>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</si>
  <si>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</si>
  <si>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</si>
  <si>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</si>
  <si>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</si>
  <si>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</si>
  <si>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</si>
  <si>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</si>
  <si>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</si>
  <si>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</si>
  <si>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</si>
  <si>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</si>
  <si>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</si>
  <si>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</si>
  <si>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</si>
  <si>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</si>
  <si>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</si>
  <si>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Kybertapahtumista ja -häiriöistä pidetään rekisteriä / kantaa, johon tapahtumat ja häiriöt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</si>
  <si>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</si>
  <si>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Kyberhäiriöiden tietoja verrataan keskenään, jotta niistä tunnistettaisiin mahdollisia säännönmukaisuuksia, trendejä tai muita häiriöille yhteisiä piirteitä.</t>
  </si>
  <si>
    <t>Kyberhäiriöihin reagoimista varten on tunnistettu soveltuvat työntekijät ja heille on annettu roolit (ainakin tapauskohtaisesti). Tasolla 1 tämän ei tarvitse olla systemaattista ja säännöllistä.</t>
  </si>
  <si>
    <t>Kyberhäiriöihin reagoidaan siten, että toiminnalla (voidaan toteuttaa tapauskohtaisesti) rajoitetaan toimintoon kohdistuvaa vaikutusta ja palautetaan toiminta normaaliksi. Tasolla 1 tämän ei tarvitse olla systemaattista ja säännöllistä.</t>
  </si>
  <si>
    <t>Kyberhäiriöihin reagoidaan määriteltyjen suunnitelmien ja menettelytapojen mukaisesti.</t>
  </si>
  <si>
    <t>Kyberhäiriöiden hallintasuunnitelma sisältää viestintäsuunnitelman, joka kattaa sekä sisäiset että ulkoiset sidosryhmät</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</si>
  <si>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</si>
  <si>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</si>
  <si>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</si>
  <si>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</si>
  <si>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</si>
  <si>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</si>
  <si>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Jatkuvuussuunnitelmat sisältävät arviot mahdollisten kyberhäiriöiden vaikutuksista.</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</si>
  <si>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</si>
  <si>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</si>
  <si>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</si>
  <si>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</si>
  <si>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</si>
  <si>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</si>
  <si>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</si>
  <si>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</si>
  <si>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</si>
  <si>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</si>
  <si>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</si>
  <si>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</si>
  <si>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</si>
  <si>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</si>
  <si>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</si>
  <si>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</si>
  <si>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</si>
  <si>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</si>
  <si>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</si>
  <si>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</si>
  <si>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</si>
  <si>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</si>
  <si>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</si>
  <si>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</si>
  <si>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</si>
  <si>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</si>
  <si>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</si>
  <si>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</si>
  <si>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</si>
  <si>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</si>
  <si>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</si>
  <si>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</si>
  <si>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</si>
  <si>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</si>
  <si>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</si>
  <si>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</si>
  <si>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</si>
  <si>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Kyberturvallisuusvaatimukset (esimerkiksi haavoittuvuus tiedotus, häiriötapausten SLA vaatimukset) ovat osa toimittajien ja muiden kumppaniverkoston toimijoiden kanssa laadittavia sopimuksia.</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</si>
  <si>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</si>
  <si>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</si>
  <si>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</si>
  <si>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</si>
  <si>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</si>
  <si>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</si>
  <si>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</si>
  <si>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</si>
  <si>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</si>
  <si>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</si>
  <si>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</si>
  <si>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</si>
  <si>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</si>
  <si>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</si>
  <si>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</si>
  <si>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</si>
  <si>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</si>
  <si>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</si>
  <si>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</si>
  <si>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</si>
  <si>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</si>
  <si>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</si>
  <si>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</si>
  <si>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</si>
  <si>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</si>
  <si>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</si>
  <si>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</si>
  <si>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</si>
  <si>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</si>
  <si>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SUMMA</t>
  </si>
  <si>
    <t>SUM</t>
  </si>
  <si>
    <t>Loogisten käyttöoikeuksien hallinta</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</si>
  <si>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</si>
  <si>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Fyysinen pääsynhallinta</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</si>
  <si>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</si>
  <si>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Kyberturvallisuusarkkitehtuuri (ARCHITECTURE)</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</si>
  <si>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</si>
  <si>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Kyberarkkitehtuurin kehittäminen</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</si>
  <si>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</si>
  <si>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Tietoverkkojen suojaus osana kyberarkkitehtuuria</t>
  </si>
  <si>
    <t>Verkkojen segmentointi voidaan toteuttaa fyysisellä ja/tai loogisella tasolla ja sen tarkoitus on pienentää hyökkäyspinta-alaa. Optimitilanteessa jokaiselle laitteelle on perusteltu syy sen sijoittamiseen tiettyyn verkkosegmenttiin.</t>
  </si>
  <si>
    <t>Laitteiden ja ohjelmistojen turvallisuus osana kyberarkkitehtuuria</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</si>
  <si>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</si>
  <si>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Sovellusturvallisuus osana kyberarkkitehtuuria</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</si>
  <si>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</si>
  <si>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Tietojen suojaus osana kyberarkkitehtuuria</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</si>
  <si>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</si>
  <si>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Omaisuuden, muutosten ja konfiguraation hallinta (ASSET)</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</si>
  <si>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</si>
  <si>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Laitteiden ja ohjelmistojen hallinta</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</si>
  <si>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</si>
  <si>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Tietovarantojen hallinta</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</si>
  <si>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</si>
  <si>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nro</t>
  </si>
  <si>
    <t>Informative Reference Submission Form</t>
  </si>
  <si>
    <t>Field Name</t>
  </si>
  <si>
    <t>Value</t>
  </si>
  <si>
    <t>Informative Reference Name</t>
  </si>
  <si>
    <t>C2M2-v2.1-to-CSF-Framework-v1.1 (1.0.0)</t>
  </si>
  <si>
    <t>Reference Version</t>
  </si>
  <si>
    <t>1.0.0</t>
  </si>
  <si>
    <t>Web Address</t>
  </si>
  <si>
    <t>https://www.nccoe.nist.gov/sites/default/files/2023-03/DOE-C2M2V2_1-CSF-mapping.xlsx</t>
  </si>
  <si>
    <t>Focal Document Version</t>
  </si>
  <si>
    <t>Cybersecurity Framework v1.1</t>
  </si>
  <si>
    <t xml:space="preserve">Summary </t>
  </si>
  <si>
    <t>A mapping of Cybersecurity Capability Maturity Model version 2.1 practices to NIST Cybersecurity Framework version 1.1 Core.</t>
  </si>
  <si>
    <t xml:space="preserve">Target Audience (Community) </t>
  </si>
  <si>
    <t>Energy sector entities seeking to evaluate their cybersecurity capabilities and optimize security investments.</t>
  </si>
  <si>
    <t>Comprehensive</t>
  </si>
  <si>
    <t>No</t>
  </si>
  <si>
    <t>Reference Document Author</t>
  </si>
  <si>
    <t>US Department of Energy</t>
  </si>
  <si>
    <t>Reference Document</t>
  </si>
  <si>
    <t>Department of Energy's Cybersecurity Capability Maturity Model (C2M2) V2.1</t>
  </si>
  <si>
    <t>Reference Document Date</t>
  </si>
  <si>
    <t>Reference Document URL</t>
  </si>
  <si>
    <t>https://energy.gov/c2m2</t>
  </si>
  <si>
    <t>Reference Developer</t>
  </si>
  <si>
    <t xml:space="preserve">National Institute of Standards and Technology </t>
  </si>
  <si>
    <t>The Cybersecurity Capability Maturity Model (C2M2) enables organizations to evaluate their cybersecurity capabilities and optimize security investments.</t>
  </si>
  <si>
    <t>Point of Contact</t>
  </si>
  <si>
    <t>C2M2_CSF_mappings@nist.gov</t>
  </si>
  <si>
    <t>Dependency/ Requirement</t>
  </si>
  <si>
    <t>Stand-alone</t>
  </si>
  <si>
    <t>Citations</t>
  </si>
  <si>
    <t>none</t>
  </si>
  <si>
    <r>
      <t xml:space="preserve">Tarkoitus: Raportin on tarkoitus kuvata Kybermittarin käytäntöjen prosentuaalista toteutumista NIST CSF alikategorioittain ja kypsyystasoittain. 
Tulkinta: </t>
    </r>
    <r>
      <rPr>
        <sz val="11"/>
        <color theme="1"/>
        <rFont val="Verdana"/>
        <family val="2"/>
        <scheme val="major"/>
      </rPr>
      <t xml:space="preserve"> Yksityiskohtaisempi raportti, joka perustuu Kybermittarin käytäntöjen ristiinkytkentään NIST CSF v1.1 viitekehykseen. Tämä on tarkoitettu arviointitulosten analysointiin, raportointiin ja sisäisen kehitystyön ohjaamiseen. 
Raportti on tarkoitettu kyberturvallisuuden ja riskienhallinnan ammattilaisille sekä muille teknisille vastuuhenkilöille ja niille organisaatioille, joilla on aiempaa kokemusta NIST-viitekehyksen käytöstä.</t>
    </r>
    <r>
      <rPr>
        <b/>
        <sz val="11"/>
        <color theme="1"/>
        <rFont val="Verdana"/>
        <family val="2"/>
        <scheme val="major"/>
      </rPr>
      <t xml:space="preserve"> 
</t>
    </r>
    <r>
      <rPr>
        <sz val="11"/>
        <color theme="1"/>
        <rFont val="Verdana"/>
        <family val="2"/>
        <scheme val="major"/>
      </rPr>
      <t xml:space="preserve">Ristiin kytkentä on aina viitteellinen. Lisää tietoa ristiinkytkennästä </t>
    </r>
    <r>
      <rPr>
        <b/>
        <sz val="11"/>
        <color theme="1"/>
        <rFont val="Verdana"/>
        <family val="2"/>
        <scheme val="major"/>
      </rPr>
      <t>NIST CSF</t>
    </r>
    <r>
      <rPr>
        <sz val="11"/>
        <color theme="1"/>
        <rFont val="Verdana"/>
        <family val="2"/>
        <scheme val="major"/>
      </rPr>
      <t xml:space="preserve"> ja </t>
    </r>
    <r>
      <rPr>
        <b/>
        <sz val="11"/>
        <color theme="1"/>
        <rFont val="Verdana"/>
        <family val="2"/>
        <scheme val="major"/>
      </rPr>
      <t>NISTmap</t>
    </r>
    <r>
      <rPr>
        <sz val="11"/>
        <color theme="1"/>
        <rFont val="Verdana"/>
        <family val="2"/>
        <scheme val="major"/>
      </rPr>
      <t xml:space="preserve"> -välilehdiltä. Tuloksia tulkitessa on hyvä huomioida, että kyseessä ei ole yksi yhteen kytkentä vaan yksi käytäntö voi olla yhdistetty useaan alikategoriaan. Tämän vuoksi Kybermittarin eri käytännöillä on varsin erilaiset painoarvot NIST CSF:n tulosten näkökulmasta. 
Samaten toiminnekohtaisten ristiin kytkentöjen määrä ei ole sama.
Identify: 222
Protect: 367
Detect: 107
Respond: 92
Recover: 24</t>
    </r>
    <r>
      <rPr>
        <b/>
        <sz val="11"/>
        <color theme="1"/>
        <rFont val="Verdana"/>
        <family val="2"/>
        <scheme val="major"/>
      </rPr>
      <t xml:space="preserve">
</t>
    </r>
  </si>
  <si>
    <t xml:space="preserve"> Perustuen suuntaa-antavaan ristiinkytkentään C2M2 ja NIST CSF-mallien välillä</t>
  </si>
  <si>
    <t>Baserad på en riktgivande korskoppling mellan C2M2 och NIST CSF</t>
  </si>
  <si>
    <r>
      <t xml:space="preserve">Tarkoitus: </t>
    </r>
    <r>
      <rPr>
        <sz val="11"/>
        <color theme="1"/>
        <rFont val="Verdana"/>
        <family val="2"/>
        <scheme val="major"/>
      </rPr>
      <t>Kaaviot esittävät tulokset NIST Cybersecurity -viitekehykseen tehdyn ristiiviittauksen mukaisesti. Tarkempia tietoja ristiinkytkennästä välilehdellä NIST CSF. Ristiinviittaus poikkeaa merkittävästi V2.0:n ristiinviittauksesta.</t>
    </r>
    <r>
      <rPr>
        <b/>
        <sz val="11"/>
        <color theme="1"/>
        <rFont val="Verdana"/>
        <family val="2"/>
        <scheme val="major"/>
      </rPr>
      <t xml:space="preserve">
Tulkinta: </t>
    </r>
    <r>
      <rPr>
        <sz val="11"/>
        <color theme="1"/>
        <rFont val="Verdana"/>
        <family val="2"/>
        <scheme val="major"/>
      </rPr>
      <t>Kybermittarin käytännöille on tehty ristiinkytkentä NIST CSF viitekehyksen versioon 1.1 (NISTmap-välilehti)</t>
    </r>
    <r>
      <rPr>
        <b/>
        <sz val="11"/>
        <color theme="1"/>
        <rFont val="Verdana"/>
        <family val="2"/>
        <scheme val="major"/>
      </rPr>
      <t>.  
T</t>
    </r>
    <r>
      <rPr>
        <sz val="11"/>
        <color theme="1"/>
        <rFont val="Verdana"/>
        <family val="2"/>
        <scheme val="major"/>
      </rPr>
      <t xml:space="preserve">ulokset esitetään viiden NIST Cybersecurity -viitekehyksen mukaisen kyvykkyyden mukaisesti: tunnistaminen, suojautuminen, havainnointi, reagointi ja palautuminen. 
Tulokset on esitetty toteutumaprosentteina. Kypsyystaso arvio taulukon oikeassa laidassa on viitteellinen.   
Ristiin kytkentä on Kyberturvallisuuskeskuksen tekemä ja se on viittellinen. Tuloksia tulkitessa on hyvä huomioida, että kyseessä ei ole yksi yhteen kytkentä vaan yksi käytäntö voi olla yhdistetty useaan alikategoriaan. Tämän vuoksi eri käytännöillä on varsin erilaiset painoarvot NIST CSF:n tulosten näkökulmasta. 
Samaten toiminnekohtaisten ristiinkytkentöjen määrä ei ole sama.
Identify: 222 (versiossa 2.0: 304)
Protect: 367 (315)
Detect: 107 (131)
Respond: 92 (74)
Recover: 24 (21)
</t>
    </r>
  </si>
  <si>
    <t>2.1</t>
  </si>
  <si>
    <t>Kraven på starka lösenord och begränsningar för återanvändning har definierats och användning av dem är obligatoriskt.</t>
  </si>
  <si>
    <t>Man säkerställer identiteternas aktualitet genom att kontrollera och uppdatera dem enligt bestämda intervaller samt i specifika situationer som i samband med ändringar i systemet eller organisationsstrukturen.</t>
  </si>
  <si>
    <t>Användning av privilegierade användarkoder är begränsad till de processer de skapats för.</t>
  </si>
  <si>
    <t>Flerfaktorsautentisering krävs</t>
  </si>
  <si>
    <t>Identiteter  som inte använts för inloggning inom en bestämd tidsperiod tas ur bruk om möjligt.</t>
  </si>
  <si>
    <t>I kraven på åtkomsthantering har man beaktat principen om differentiering av uppgifter.</t>
  </si>
  <si>
    <t>Organisationens ledning stöder aktivt och synligt organisationens cyberarkitektur (och dess utveckling).</t>
  </si>
  <si>
    <t>Cybersäkerhetsarkitekturens utveckling styrs av information från organisationens riskbedömningar [se RISK-3d] och av organisationens riskprofil [se THREAT-2e].</t>
  </si>
  <si>
    <t>Cyberarkitekturen gäller driftlägen som definierats på förhand [se SITUATION-3g].</t>
  </si>
  <si>
    <t>Skydd av nätverket har genomförts, åtminstone från fall till fall. På nivå 1 behöver det inte vara systematiskt eller regelbundet.</t>
  </si>
  <si>
    <t>Skydd av näten innefattar övervakning, analys och administration av nätverkstrafiken (till exempel brandväggar, IDPS)</t>
  </si>
  <si>
    <t>Isolering av nätverk har genomförts säkerhetsorienterat så att apparater, programvaror och informationsresurser har segmenterats logiskt eller fysiskt i separata säkerhetsområden, som alla har egen autentisering.</t>
  </si>
  <si>
    <t>Apparaternas uppkopplingar till nätverket hanteras så att endast lovliga apparater kan kopplas upp (exempelvis åtkomstkontroll på apparatnivå (NAC).</t>
  </si>
  <si>
    <t>Kontroll och skyddsmekanismer för användningsrättigheter och åtkomsthantering används för apparater, programvaror och informationsresurser som är viktiga för funktionen. På nivå 1 behöver detta inte vara systematiskt och regelbundet.</t>
  </si>
  <si>
    <t>Säkra konfigurationer har preciserats och de upprätthålls som en del av ibruktagandeprocessen för apparater, programvaror och informationsresurser.</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</si>
  <si>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</si>
  <si>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Åtgärder för upprätthållande och kapacitetshantering genomförs för alla apparater, programvaror och informationsresurser. (tillgångar, assets)</t>
  </si>
  <si>
    <t>Funktionens apparater, program och informationsresurser skyddas genom övervakning/hantering av den fysiska verksamhetsmiljön.</t>
  </si>
  <si>
    <t>Apparater, programvaror och informationsresurser som har hög prioritet har specifikare cybersäkerhetskontroller/hanteringsmetoder.</t>
  </si>
  <si>
    <t>Skyddsmekanismer/kontroller (till exempel tillåtna/spärrlistor används för att förhindra användning av icke-behörig/olovlig kod.</t>
  </si>
  <si>
    <t>I processen för ibruktagande av programvara och applikationer förutsätts säkra programvarukonfigurationer (både i fråga om internt utvecklade och anskaffade programvaror.</t>
  </si>
  <si>
    <t>All sparad information (”data at rest”) skyddas när det gäller utvalda typer av information [se ASSET-2c].</t>
  </si>
  <si>
    <t>All information som är under överföring (”data in transit”) skyddas när det gäller utvalda typer av information [se ASSET-2c].</t>
  </si>
  <si>
    <t>Krypteringsmetoder används för information av utvalda typer/kategorier som har sparats eller är under överföring [se ASSET-2c].</t>
  </si>
  <si>
    <t>I prioriteringskriterierna beaktas också i vilken omfattning huruvida apparaten eller programvaran [se ASSET-1b] kan användas för att uppnå en angripares mål.</t>
  </si>
  <si>
    <t>Registret (IT och OT) är komplett (dvs. det omfattar alla apparater och programvaror som behövs för funktionen).</t>
  </si>
  <si>
    <t>All information har förstörts eller raderats från alla apparater innan ibruktagning i ett nytt objekt och innan urbruktagning.</t>
  </si>
  <si>
    <t>I prioriteringskriterierna beaktas i vilken omfattning informationsresursen kan användas för att uppnå en angripares mål (dataläckage, avbrott i verksamheten osv.)</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</si>
  <si>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</si>
  <si>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Informationsresursregistret är komplett (dvs. det omfattar alla informationsresurser som behövs för funktionen).</t>
  </si>
  <si>
    <t>Informationsresurserna tas bort, skrivs över eller förstörs i slutet av livscykeln med hjälp av metoder enligt säkerhetskraven (man bör bl.a. beakta informationens skyddsnivå)</t>
  </si>
  <si>
    <t>Till definitionen av de etablerade grundläggande inställningarna hör tillämpliga krav på organisationens cyberarkitektur [se ARCHITECTURE-1f].</t>
  </si>
  <si>
    <t>De grundläggande inställningarna ses över och uppdateras regelbundet samt i samband med bestämda situationer eller ändringar i cyberarkitekturen.</t>
  </si>
  <si>
    <t>Ändringar som genomförs i apparater, programvaror och informationsresurser bedöms och godkänns innan de genomförs. På nivå 1 behöver detta inte vara systematiskt och regelbundet. (ad hoc, från fall till fall)</t>
  </si>
  <si>
    <t>Man för loggar över förändringar i  apparater, programvaror och informationsresurser. På nivå 1 behöver detta inte vara systematiskt och regelbundet. (ad hov, från fall till fall)</t>
  </si>
  <si>
    <t xml:space="preserve">Dokumentkrav som även upprätthålls har bestämts för apparater, programvaror och informationsresurser. </t>
  </si>
  <si>
    <t>Förändringar i apparater (med hög prioritet), programvaror och informationsresurser testas innan de genomförs.</t>
  </si>
  <si>
    <t>Förändringar och uppdateringar genomförs säkert.</t>
  </si>
  <si>
    <t>Man har förmåga att återhämta sig från förändringar till läget som det var innan och det upprätthålls för de apparater, programvaror och informationsresurser som är viktiga för funktionen.</t>
  </si>
  <si>
    <t>Cybersäkerhetseffekterna av förändringar i apparater (med hög prioritet), programvaror och informationsresurser testas innan de genomförs.</t>
  </si>
  <si>
    <t>Cybersäkerhetsstrategin har uppdaterats regelbundet och när vissa villkor uppfylls, såsom förändringar i organisationens affärsverksamhet, verksamhetsmiljö eller hotprofil [se THREAT-2e].</t>
  </si>
  <si>
    <t>Organisationen samarbetar med externa aktörer för att främja cybersäkerhetsstandarder, rekommendationer, ledande praxis, informationsutbyte om händelser samt utvecklingen av utvecklingsteknologier och ibruktagning.</t>
  </si>
  <si>
    <t>Upptäckta cybersäkerhetshändelser rapporteras till personer eller rollinnehavare som fastställts på förhand och dokumenteras (åtminstone från fall till fall). På nivå 1 behöver detta inte vara systematiskt och regelbundet.</t>
  </si>
  <si>
    <t>Cybersäkerhetshändelser dokumenteras i enlighet med de utarbetade kriterierna.</t>
  </si>
  <si>
    <t>Åtgärderna för observation av cyberhändelser anpassas utifrån identifierade risker och organisationens hotprofil [se THREAT-2e].</t>
  </si>
  <si>
    <t>Man för ett register/databas över cybersäkerhetshändelser och -störningar, där händelser och störningar registreras och följs upp tills de är över.</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</si>
  <si>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</si>
  <si>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Man har identifierat lämpliga arbetstagare för att reagera på cybersäkerhetsstörningar samt tilldelat dem roller (åtminstone från fall till fall). På nivå 1 behöver detta inte vara systematiskt och regelbundet.</t>
  </si>
  <si>
    <t>Man reagerar på cybersäkerhetshändelser och -störningar så att man (från fall till fall) begränsar effekten på funktionen och återställer verksamheten till det normala. På nivå 1 behöver detta inte vara systematiskt och regelbundet.</t>
  </si>
  <si>
    <t>Hanteringsplanen för cyberstörningar innehåller en kommunikationsplan som täcker både interna och externa parter.</t>
  </si>
  <si>
    <t>Man tar lärdom av de åtgärder som utförts på grund av cybersäkerhetshändelser och -störningar och utför korrigerande åtgärder inklusive att uppdatera beredskapsplanerna.</t>
  </si>
  <si>
    <t>De bakomliggande orsakerna till cybersäkerhetshändelser och -störningar analyseras och man genomför korrigerande åtgärder inklusive att uppdatera beredskapsplanerna.</t>
  </si>
  <si>
    <t>Arbetstagare som deltar i behandlingen av händelser och incidenter i cybersäkerheten deltar i gemensamma övningar med andra organisationer (t.ex. skrivbordsövningar, simulationer)</t>
  </si>
  <si>
    <t>I reaktionen på cybersäkerhetshändelser och -störningar följer man driftlägen som definierats på förhand [se SITUATION-3g].</t>
  </si>
  <si>
    <t>I utvecklingen av kontinuitetsplanerna beaktas bedömningen effekterna av eventuella cyberstörningar.</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</si>
  <si>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</si>
  <si>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Till kontinuitetsplanerna hör fastställande av en återhämtningstid (”RTO, Recovery Time Objective”) och en återhämtningspunkt (”Recovery Point Objective, RPO”) för apparater, programvaror och informationsresurser som är viktiga för funktionen.</t>
  </si>
  <si>
    <t>Kontroller/hanteringsmetoder för cybersäkerheten som skyddar säkerhetskopior är lika bra eller grundligare än kontrollerna som skyddar den information som säkerhetskopieras.</t>
  </si>
  <si>
    <t>Säkerhetskopior är åtskilda både logiskt och fysiskt från den säkerhetskopierade informationen.</t>
  </si>
  <si>
    <t>I kontinuitetsplanen har man beaktat identifierade risker och organisationens hotprofil [se THREAT-2e], så att man beaktar de identifierade riskkategorierna och hoten.</t>
  </si>
  <si>
    <t>Kontinuitetsövningar innefattar beredskap för högprioriterade risker.</t>
  </si>
  <si>
    <t>Det innehåll i kontinuitetsplanerna som berör cybersäkerhetsstörningar granskas och uppdateras regelbundet.</t>
  </si>
  <si>
    <t>De arbetstagare som utför verksamheten inom ämnesområdet RESPONSE har bestämda ansvar, skyldigheter och färdigheter för sina uppgifter.</t>
  </si>
  <si>
    <t>Hanteringsprogrammet för cybersäkerhetsrisker har bestämts och uppdateras. Programmet bestämmer åtgärderna för hantering av cybersäkerhetsrisker som grundar sig på organisationens strategi för hantering av cybersäkerhetsrisker/verksamhetsplan.</t>
  </si>
  <si>
    <t>Organisationens ledning stöder aktivt och synligt organisationens program för hantering av cybersäkerhetsrisker.</t>
  </si>
  <si>
    <t>Organisationens program för hantering av cybersäkerhetsrisker är i linje med organisationens verksamhetsidé (mission) och målen.</t>
  </si>
  <si>
    <t>Programmet för hantering av cybersäkerhetsrisker har anpassats till hela organisationens riskhanteringsprogram.</t>
  </si>
  <si>
    <t>Bestämda metoder används för att identifiera cybersäkerhetsrisker.</t>
  </si>
  <si>
    <t>Intressentgrupper från operativa enheter och affärsenheter deltar i tillämpliga delar i identifieringen av cybersäkerhetsrisker.</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</si>
  <si>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</si>
  <si>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Information som producerats i cyberarkitekturdelen [se ARCHITECTURE] (såsom obehandlade avvikelser i cyberarkitekturen som organisationen vill uppnå) används för att identifiera nya cybersäkerhetsrisker och uppdatera befintliga cybersäkerhetsrisker.</t>
  </si>
  <si>
    <t>De fastställda kriterierna används i prioriteringen av cybersäkerhetsrisker (exempelvis effekt på organisationen, sannolikhet, utsatthet, risktolerans).</t>
  </si>
  <si>
    <t>Effekterna av högprioriterade cybersäkerhetsrisker och cybersäkerhetsriskkategorier bedöms enligt fastställda metoder (exempelvis genom att jämföra med förverkligade fall och kvantifiera risken).G228</t>
  </si>
  <si>
    <t>När cybersäkerhetsriskerna inte längre kräver uppföljning eller åtgärder, tas de bort från riskregistret eller en annan lagringsplats som har använts för dokumentering och hantering av risken.</t>
  </si>
  <si>
    <t>Sätt att reagera på risker (såsom att minska, godkänna, undvika eller överföra risken) används för cybersäkerhetsrisker. På nivå 1 behöver detta inte vara systematiskt och regelbundet.</t>
  </si>
  <si>
    <t>Man utvärderar hur planeringen av skyddsmekanismer för cybersäkerheten har lyckats och dess faktiska effekter på minskningen av cybersäkerhetsrisker.</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</si>
  <si>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</si>
  <si>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Logginformation samlas in för apparater, programvaror och informationsresurser som är viktiga för funktionen. På nivå 1 behöver detta inte vara systematiskt och regelbundet.</t>
  </si>
  <si>
    <t>IT- och OT-apparater, programvara och informationsresurser som är viktiga för funktionen eller som en angripare kan använda för att uppnå sitt mål har fastställts och uppdaterade loggkrav.</t>
  </si>
  <si>
    <t xml:space="preserve">Loggningskrav har fastställts för nätverks och apparaters övervakningsinfrastruktur som även uppdateras (exempelvis nätslussar (gateway), EDER-programvara, system för att upptäcka och förhindra IDPS-intrång. </t>
  </si>
  <si>
    <t>För högprioriterade apparater, programvaror och informationsresurser samlar man in grundligare loggdata.</t>
  </si>
  <si>
    <t>IT- och OT-miljöer övervakas med tanke på avvikande verksamhet och eventuella cybersäkerhetshändelser (åtminstone från fall till fall). På nivå 1 behöver detta inte vara systematiskt och regelbundet.</t>
  </si>
  <si>
    <t>Övervakningsåtgärderna är i linje med funktionens hotprofil [se THREAT-2e].</t>
  </si>
  <si>
    <t>Högprioriterade apparater, programvaror och informationsresurser övervakas noggrannare.</t>
  </si>
  <si>
    <t xml:space="preserve">Indikatorer skapade för att upptäcka avvikande verksamhet utvärderas och uppdateras regelbundet och i samband med bestämda situationer, såsom systemändringar eller externa händelser. </t>
  </si>
  <si>
    <t>Förmåga att samla in, gruppera, jämföra och analysera information som samlats genom övervakning samt utforma en lägesbild nästan i realtid över cybersäkerhetssituationen. Förmågan underhålls.</t>
  </si>
  <si>
    <t>I verksamheten följer man på förhand bestämda dokumenterade funktionslägen som används enligt funktionens cybersäkerhetsläge eller startas av funktionerna inom andra delområden.</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</si>
  <si>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</si>
  <si>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För att identifiera risker orsakade av leverantörer och andra partner används bestämda metoder.</t>
  </si>
  <si>
    <t>Urvalskriterierna för egendomar med hög prioritet (apparater, programvara och informationsresurser) innefattar en sk. materialförteckning (bill of materials), åtminstone för centrala delar såsom apparatem och programvaran.</t>
  </si>
  <si>
    <t>Urvalskriterierna för egendomar med hög prioritet (apparater, programvara och informationsresurser) har man i urvalskriterierna beaktat alla hosting-mijöer och källkod av en tredje part.</t>
  </si>
  <si>
    <t>Källorna till sårbarhetsinformation täcker de apparater och programvaror som prioriteras högt, och informationskällorna följs regelbundet.</t>
  </si>
  <si>
    <t>Programvarureparationernas effekter på den operativa verksamheten inom funktionen bedöms innan reparationerna installeras (mitigation).</t>
  </si>
  <si>
    <t>Information om upptäckta cybersäkerhetssårbarheter delas med de aktörer som organisationen har fastställt</t>
  </si>
  <si>
    <t>Sårbarhetskällorna för alla IT- och OT-egendomar (apparater, programvara och informationsresurer) har identifierats och uppföljs.</t>
  </si>
  <si>
    <t>Till uppföljningen av sårbarheter hör också till tillämpliga delar granskning av de åtgärder för att begränsa eller reparera sårbarheter har varit effektiva.</t>
  </si>
  <si>
    <t>Organisationen har processer för att ta emot och behandla rapporter av externa intressenter om eventuella sårbarheter (t.ex. Bug Bounty) som gäller organisationens IT- och OT-apparater, programvara, exempelvis öppna tjänster på internet eller mobilapplikationer.</t>
  </si>
  <si>
    <t>Information om cyberhot samlas in och tolkas för funktionen minst från fall till fall (ad hoc). På nivå 1 behöver detta inte vara systematiskt och regelbundet.</t>
  </si>
  <si>
    <t>Hotaktörers mål som riktas mot funktionen har identifierats åtminstone från fall till fall. På nivå 1 behöver detta inte vara systematiskt och regelbundet.</t>
  </si>
  <si>
    <t>Man har definierat en hotprofil för funktionen. I hotprofilen beskrivs möjliga hotmål såsom typiska hotfaktorer, motiv, förmågor och objekt.</t>
  </si>
  <si>
    <t>Man utbyter information om hot med parter (dessa kan vara ledningen, operativ personal, myndigheter, andra organisationer inom branschen, ISAC-grupper eller andra interna och externa berörda parter).</t>
  </si>
  <si>
    <t>I uppföljningen av och reaktionen på hot följer man driftlägen som definierats på förhand [se SITUATION-3g].</t>
  </si>
  <si>
    <t>Tillämpade kontroller görs för sådana arbetstagare som har användnings- eller åtkomsträttigheter till apparater, programvaror och informationsresurser som är viktiga för en funktion.</t>
  </si>
  <si>
    <t>Cybersäkerheten beaktas i förfaranden för interna överföringar av arbetstagare. (kritiska arbetskombinationer beaktas, rättigheter, behov av möjliga bakgrundsutredningar/säkerhetsutredningar.</t>
  </si>
  <si>
    <t>Personalen känner till sitt ansvar i fråga om skydd och godkänd användning av apparater (IT och OT), programvaror och informationsresurser.</t>
  </si>
  <si>
    <t>Organisationen har en formell ansvarsprocess som innefattar disciplinåtgärdsförfarande för personal som inte följer bestämd säkerhetspolitik och förfaranden.</t>
  </si>
  <si>
    <t>För åtgärderna för medvetenheten om cybersäkerhet har man fastställt mål, som upprätthålls.</t>
  </si>
  <si>
    <t>Målen för förbättring av medvetenheten om cybersäkerhet är i linje med den hotprofil som organisationen fastställt [se THREAT-2e].</t>
  </si>
  <si>
    <t>Effekten av åtgärder som förbättrar cybersäkerhetskompetensen utvärderas regelbundet och i samband med vissa förändringar, såsom systemförändringar och externa händelser. Verksamheten utvecklas vid behov.</t>
  </si>
  <si>
    <t>Identifierade kompetensbirster inom cybersäkerhet (kunskap, fädighet, förmåga och behörighet) åtgärdas med utbildning, rekrytering och verksamhet som är inriktad på att minska personalomsättningen.</t>
  </si>
  <si>
    <t>Utbildningsprogrammen innehåller forbildning och övriga yrkesmässiga utvecklingsmöjligheter för personalen som har betydande cybersäkerhetsansvar.</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</si>
  <si>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</si>
  <si>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</si>
  <si>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Cybersäkerhetsstrategin anger/identifierar till tillämpliga delar alla väsentliga kravenlighetskrav (till exempel NIST, ISO, PCI DSS), som ska följas (program för verkställande eller strategi)</t>
  </si>
  <si>
    <t>Jatkuvuudenhallinnan tavoitteena on varmistaa että oleellista toimintaa pystytään jatkamaan myös häiriötilanteessa, kuten vakavat kyberturvallisuushäiriön tai onnettomuuden tapahduttua.  Jotta jatkuvuussuunnitelmat kattavat todennäköiset kyberhäiriötilanteet,    tulee huomioida tunnistetut riskit ja organisaatioon kohdistuvat kyberuhat. Jatkuvuussuunnitelmien testauksen tulisi sisältää kyberhäiriöskenaarioita, jotta varmistutaan, että suunnitelmat toimivat tarkoituksenmukaisesti myös tositilanteessa.</t>
  </si>
  <si>
    <t>puuttuu</t>
  </si>
  <si>
    <t xml:space="preserve">CRITICAL, tiedot Infoimport-välilehdeltä 
</t>
  </si>
  <si>
    <t xml:space="preserve">ASSET, tiedot Infoimport-välilehdeltä
</t>
  </si>
  <si>
    <t xml:space="preserve">THREAT, tiedot Infoimport-välilehdeltä
</t>
  </si>
  <si>
    <t xml:space="preserve">RISK, tiedot Infoimport-välilehdeltä
</t>
  </si>
  <si>
    <t xml:space="preserve">ACCESS, tiedot Infoimport-välilehdeltä
</t>
  </si>
  <si>
    <t xml:space="preserve">SITUATION, tiedot Infoimport-välilehdeltä
</t>
  </si>
  <si>
    <t xml:space="preserve">RESPONSE, tiedot Infoimport-välilehdeltä
</t>
  </si>
  <si>
    <t xml:space="preserve">THIRDPARTY, tiedot Infoimport-välilehdeltä
</t>
  </si>
  <si>
    <t xml:space="preserve">WORKFORCE, tiedot Infoimport-välilehdeltä
</t>
  </si>
  <si>
    <t xml:space="preserve">ARCHITECTURE, tiedot Infoimport-välilehdeltä
</t>
  </si>
  <si>
    <t xml:space="preserve">Kyberturvallisuuden kehittämisohjelma huomioi organisaatiota velvoittavien lakien, sääntöjen ja määräysten noudattamisen.
</t>
  </si>
  <si>
    <t xml:space="preserve">Utvecklingsprogrammet för cybersäkerheten beaktar att organisationen följer bindande lagar, föreskrifter och bestämmelser. </t>
  </si>
  <si>
    <t>Kumppaniverkoston riskienhallinnan osion toimenpiteistä [kts. THIRD-PARTIES] saatua tietoa käytetään uusien kyberriskien tunnistamiseen ja olemassa olevien kyberriskien päivittämiseen.</t>
  </si>
  <si>
    <t>Information från åtgärderna i ämnesområdet för riskhantering i partnernätverket [se THIRD-PARTIES] används för att identifiera nya cybersäkerhetsrisker och uppdatera befintliga.</t>
  </si>
  <si>
    <t>Kumppaniverkoston riskien hallinta (THIRD-PARTIES)</t>
  </si>
  <si>
    <t>Hantering av risker i partnernätverket (THIRD-PARTIES)</t>
  </si>
  <si>
    <t>För verksamheten inom ämnesområdet THIRD-PARTIES har man fastställt dokumenterade rutiner, som följs och uppdateras regelbundet.</t>
  </si>
  <si>
    <t>THIRD-PARTIES-osion toimintaa varten on tarjolla riittävät resurssit (henkilöstö, rahoitus ja työkalut).</t>
  </si>
  <si>
    <t>Det finns tillräckligt med resurser för verksamheten inom ämnesområdet THIRD-PARTIES (personal, finansiering och verktyg).</t>
  </si>
  <si>
    <t>THIRD-PARTIES-osion toimintaa ohjataan vaatimuksilla, jotka on asetettu organisaation johtotason politiikassa (tai vastaavassa ohjeistuksessa).</t>
  </si>
  <si>
    <t>Verksamheten inom ämnesområdet THIRD-PARTIES styrs genom krav som ställts upp i policyn på organisationens ledningsnivå (eller i motsvarande anvisningar).</t>
  </si>
  <si>
    <t>THIRD-PARTIES-osion toiminnan vaikuttavuutta arvioidaan ja seurataan.</t>
  </si>
  <si>
    <t>Effektiviteten hos verksamheten inom ämnesområdet THIRD-PARTIES utvärderas och följs upp.</t>
  </si>
  <si>
    <t>De ansvar, kontoskyldigheter och behörigheter som krävs för verksamheten inom ämnesområdet THIRD-PARTIES har delats ut till lämpliga arbetstagare.</t>
  </si>
  <si>
    <t>De arbetstagare som utför verksamheten inom ämnesområdet THIRD-PARTIES har tillräckliga kunskaper och färdigheter för sina uppgifter.</t>
  </si>
  <si>
    <r>
      <t xml:space="preserve">Versio 2.1 (29.8.2023)
</t>
    </r>
    <r>
      <rPr>
        <sz val="10"/>
        <color rgb="FF0058B1"/>
        <rFont val="Verdana"/>
        <family val="2"/>
      </rPr>
      <t>Lisätty Import-mahdollisuus myös tavoitteille ja testattu import-toimintoja</t>
    </r>
    <r>
      <rPr>
        <b/>
        <sz val="10"/>
        <color rgb="FF0058B1"/>
        <rFont val="Verdana"/>
        <family val="2"/>
      </rPr>
      <t xml:space="preserve">
</t>
    </r>
    <r>
      <rPr>
        <sz val="10"/>
        <color rgb="FF0058B1"/>
        <rFont val="Verdana"/>
        <family val="2"/>
      </rPr>
      <t>Ruotsinkielen päivitys ja kielenvalinnan korjaus.</t>
    </r>
    <r>
      <rPr>
        <b/>
        <sz val="10"/>
        <color rgb="FF0058B1"/>
        <rFont val="Verdana"/>
        <family val="2"/>
      </rPr>
      <t xml:space="preserve">
Versio 2.1 (28.5.2023)
</t>
    </r>
    <r>
      <rPr>
        <sz val="10"/>
        <color rgb="FF0058B1"/>
        <rFont val="Verdana"/>
        <family val="2"/>
      </rPr>
      <t>Pieniä virheenkorjauksia, mm. import-kaavoja Workforce ja Architecture välilehdiltä
Vastausten arvot asetettu nolliksi.</t>
    </r>
    <r>
      <rPr>
        <b/>
        <sz val="10"/>
        <color rgb="FF0058B1"/>
        <rFont val="Verdana"/>
        <family val="2"/>
      </rPr>
      <t xml:space="preserve">
Versio 2.1 Beta2 (02.05.2023)
</t>
    </r>
    <r>
      <rPr>
        <sz val="10"/>
        <color rgb="FF0058B1"/>
        <rFont val="Verdana"/>
        <family val="2"/>
      </rPr>
      <t xml:space="preserve">NIST CSF - C2M2 ristiinviittaus (lähde: ks. NIST CSF välilehti) 
Korjattu R3+C49
Import viittauksia välilehdiltä korjattu
</t>
    </r>
    <r>
      <rPr>
        <b/>
        <sz val="10"/>
        <color rgb="FF0058B1"/>
        <rFont val="Verdana"/>
        <family val="2"/>
      </rPr>
      <t xml:space="preserve">
Versio 2.1 beta
</t>
    </r>
    <r>
      <rPr>
        <sz val="10"/>
        <color rgb="FF0058B1"/>
        <rFont val="Verdana"/>
        <family val="2"/>
      </rPr>
      <t xml:space="preserve">Muutettu käytännöt vastaamaan C2M2 V2.1 käytäntöjä
Alkuperäinen englanninkielinen toimii ja suomenkielinen käännös
NIST-ristiinviittaus korjattava vastamaan uutta
Migraatiovälilehdet poistettu, tulee erillisenä.
</t>
    </r>
    <r>
      <rPr>
        <b/>
        <sz val="10"/>
        <color rgb="FF0058B1"/>
        <rFont val="Verdana"/>
        <family val="2"/>
      </rPr>
      <t xml:space="preserve">
Versio 2.01
- </t>
    </r>
    <r>
      <rPr>
        <sz val="10"/>
        <color rgb="FF0058B1"/>
        <rFont val="Verdana"/>
        <family val="2"/>
      </rPr>
      <t xml:space="preserve">Migraatiovälilehti siirtää vastaavat vastaukset ja kommentit sekä </t>
    </r>
    <r>
      <rPr>
        <b/>
        <sz val="10"/>
        <color rgb="FF0058B1"/>
        <rFont val="Verdana"/>
        <family val="2"/>
      </rPr>
      <t>muuttuneiden</t>
    </r>
    <r>
      <rPr>
        <sz val="10"/>
        <color rgb="FF0058B1"/>
        <rFont val="Verdana"/>
        <family val="2"/>
      </rPr>
      <t xml:space="preserve"> käytäntöjen kommentit</t>
    </r>
    <r>
      <rPr>
        <b/>
        <sz val="10"/>
        <color rgb="FF0058B1"/>
        <rFont val="Verdana"/>
        <family val="2"/>
      </rPr>
      <t xml:space="preserve">
Versio 2.0
- </t>
    </r>
    <r>
      <rPr>
        <sz val="10"/>
        <color rgb="FF0058B1"/>
        <rFont val="Verdana"/>
        <family val="2"/>
      </rPr>
      <t xml:space="preserve">Päivitetty vastaamaan C2M2 V2.0:n käytäntöjä.
- Lisätty muutamia raportointivaihtoehtoja
- Välilehdille lisätty sarakkeita ja laatikoita, joihin arvioinnin aikana voi tallentaa tai tuoda tietoa
- Migraatio-ominaisuudet V1-V2 siirtoa varten (MIGRATION ja MAPPING)
- Päivitetty Kybermittari - NIST CSF ristiin viittaus
- Muutokset-välilehti muistiinpanoja varten
- Korvattu aiempi tulosten xml-muotoinen vienti uudella, jotta taulukko toimii paremmin myös O365-alustalla
</t>
    </r>
    <r>
      <rPr>
        <b/>
        <sz val="10"/>
        <color rgb="FF0058B1"/>
        <rFont val="Verdana"/>
        <family val="2"/>
      </rPr>
      <t>Puutteita</t>
    </r>
    <r>
      <rPr>
        <sz val="10"/>
        <color rgb="FF0058B1"/>
        <rFont val="Verdana"/>
        <family val="2"/>
      </rPr>
      <t xml:space="preserve">
- Raporteista vain R1:een ja R2:een saa mukaan vertailutietoa
</t>
    </r>
    <r>
      <rPr>
        <b/>
        <sz val="10"/>
        <color rgb="FF0058B1"/>
        <rFont val="Verdana"/>
        <family val="2"/>
      </rPr>
      <t>Lisensoinnista</t>
    </r>
    <r>
      <rPr>
        <sz val="10"/>
        <color rgb="FF0058B1"/>
        <rFont val="Verdana"/>
        <family val="2"/>
      </rPr>
      <t xml:space="preserve">
Materiaali on käytettävissä Creative Commons Nimeä 4.0 / CC BY 4.0 lisenssiehtojen mukaisesti noudattaen julkishallinnon suositusta: http://www.jhs-suositukset.fi/suomi/jhs189
Lisenssiteksti https://creativecommons.org/licenses/by/4.0/legalcode.fi
Lisenssitekstin helppolukuinen tiivistelmä https://creativecommons.org/licenses/by/4.0/deed.fi
Pohjana olevan Cybersecurity Capability Maturity Model (C2M2):n lisensoinnista ja käytöstä on lisätietoa saatavilla: https://www.energy.gov/ceser/cybersecurity-capability-maturity-model-c2m2
© 2022 Carnegie Mellon University. 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t>
    </r>
  </si>
  <si>
    <t xml:space="preserve">Cybermätarens version 2.1 
29.08.2023
</t>
  </si>
  <si>
    <t xml:space="preserve">Kybermittari versio 2.1, 29.08.2023
https://www.kybermittari.fi 
Palaute ja kysymykset: kybermittari(at)traficom.fi
Materiaali on käytettävissä Creative Commons Nimeä 4.0 / CC BY 4.0 lisenssiehtojen mukaisesti. 
Kybermittari on rekisteröity tavaramerkki (sanamerkki). </t>
  </si>
  <si>
    <t xml:space="preserve">Kybermittari version 2.1
Aug 29th 2023
Kybermittari is registered trademark.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</si>
</sst>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mm/dd/yyyy;@"/>
  </numFmts>
  <fonts count="156" x14ac:knownFonts="1">
    <font>
      <sz val="11"/>
      <color theme="1"/>
      <name val="Verdana"/>
      <family val="2"/>
      <scheme val="minor"/>
    </font>
    <font>
      <sz val="11"/>
      <color theme="1"/>
      <name val="Verdana"/>
      <family val="2"/>
      <scheme val="minor"/>
    </font>
    <font>
      <sz val="11"/>
      <color theme="0"/>
      <name val="Verdana"/>
      <family val="2"/>
      <scheme val="minor"/>
    </font>
    <font>
      <sz val="11"/>
      <color theme="1"/>
      <name val="Verdana"/>
      <family val="2"/>
    </font>
    <font>
      <b/>
      <sz val="8"/>
      <name val="Verdana"/>
      <family val="2"/>
    </font>
    <font>
      <sz val="9"/>
      <name val="Verdana"/>
      <family val="2"/>
    </font>
    <font>
      <b/>
      <sz val="10"/>
      <name val="Verdana"/>
      <family val="2"/>
    </font>
    <font>
      <b/>
      <sz val="8"/>
      <color rgb="FF1D477C"/>
      <name val="Verdana"/>
      <family val="2"/>
    </font>
    <font>
      <b/>
      <sz val="8"/>
      <color theme="1"/>
      <name val="Verdana"/>
      <family val="2"/>
    </font>
    <font>
      <b/>
      <sz val="11"/>
      <color rgb="FF1D477C"/>
      <name val="Verdana"/>
      <family val="2"/>
    </font>
    <font>
      <sz val="8"/>
      <color theme="1"/>
      <name val="Verdana"/>
      <family val="2"/>
    </font>
    <font>
      <sz val="9"/>
      <color theme="1"/>
      <name val="Verdana"/>
      <family val="2"/>
      <scheme val="minor"/>
    </font>
    <font>
      <b/>
      <sz val="9"/>
      <color theme="1"/>
      <name val="Verdana"/>
      <family val="2"/>
      <scheme val="minor"/>
    </font>
    <font>
      <sz val="9"/>
      <color theme="1"/>
      <name val="Verdana"/>
      <family val="2"/>
    </font>
    <font>
      <b/>
      <sz val="9"/>
      <color theme="0"/>
      <name val="Verdana"/>
      <family val="2"/>
    </font>
    <font>
      <b/>
      <sz val="11"/>
      <name val="Verdana"/>
      <family val="2"/>
    </font>
    <font>
      <b/>
      <sz val="9"/>
      <color rgb="FF1D477C"/>
      <name val="Verdana"/>
      <family val="2"/>
    </font>
    <font>
      <b/>
      <sz val="9"/>
      <name val="Verdana"/>
      <family val="2"/>
    </font>
    <font>
      <b/>
      <sz val="9"/>
      <color theme="1"/>
      <name val="Verdana"/>
      <family val="2"/>
    </font>
    <font>
      <sz val="9"/>
      <color theme="4"/>
      <name val="Verdana"/>
      <family val="2"/>
    </font>
    <font>
      <sz val="9"/>
      <color rgb="FF1D477C"/>
      <name val="Verdana"/>
      <family val="2"/>
    </font>
    <font>
      <sz val="9"/>
      <color rgb="FF00B0F0"/>
      <name val="Verdana"/>
      <family val="2"/>
    </font>
    <font>
      <sz val="11"/>
      <name val="Verdana"/>
      <family val="2"/>
    </font>
    <font>
      <sz val="11"/>
      <color rgb="FF00B0F0"/>
      <name val="Verdana"/>
      <family val="2"/>
    </font>
    <font>
      <sz val="8"/>
      <name val="Verdana"/>
      <family val="2"/>
    </font>
    <font>
      <b/>
      <sz val="12"/>
      <color rgb="FF026273"/>
      <name val="Verdana"/>
      <family val="2"/>
    </font>
    <font>
      <b/>
      <sz val="16"/>
      <name val="Verdana"/>
      <family val="2"/>
    </font>
    <font>
      <sz val="16"/>
      <name val="Verdana"/>
      <family val="2"/>
    </font>
    <font>
      <b/>
      <sz val="9"/>
      <color rgb="FF1D477C"/>
      <name val="Verdana"/>
      <family val="2"/>
      <scheme val="major"/>
    </font>
    <font>
      <sz val="9"/>
      <color theme="1"/>
      <name val="Verdana"/>
      <family val="2"/>
      <scheme val="major"/>
    </font>
    <font>
      <b/>
      <sz val="8"/>
      <color rgb="FF1D477C"/>
      <name val="Verdana"/>
      <family val="2"/>
      <scheme val="major"/>
    </font>
    <font>
      <sz val="8"/>
      <color theme="1"/>
      <name val="Verdana"/>
      <family val="2"/>
      <scheme val="major"/>
    </font>
    <font>
      <b/>
      <sz val="8"/>
      <color theme="1"/>
      <name val="Verdana"/>
      <family val="2"/>
      <scheme val="major"/>
    </font>
    <font>
      <sz val="11"/>
      <name val="Verdana"/>
      <family val="2"/>
      <scheme val="major"/>
    </font>
    <font>
      <sz val="11"/>
      <color theme="1"/>
      <name val="Verdana"/>
      <family val="2"/>
      <scheme val="major"/>
    </font>
    <font>
      <sz val="9"/>
      <color rgb="FF00B0F0"/>
      <name val="Verdana"/>
      <family val="2"/>
      <scheme val="major"/>
    </font>
    <font>
      <b/>
      <sz val="9"/>
      <color theme="1"/>
      <name val="Verdana"/>
      <family val="2"/>
      <scheme val="major"/>
    </font>
    <font>
      <sz val="9"/>
      <color rgb="FF1D477C"/>
      <name val="Verdana"/>
      <family val="2"/>
      <scheme val="major"/>
    </font>
    <font>
      <b/>
      <sz val="9"/>
      <name val="Verdana"/>
      <family val="2"/>
      <scheme val="minor"/>
    </font>
    <font>
      <b/>
      <sz val="11"/>
      <color theme="0"/>
      <name val="Verdana"/>
      <family val="2"/>
    </font>
    <font>
      <b/>
      <sz val="10"/>
      <color theme="1"/>
      <name val="Verdana"/>
      <family val="2"/>
    </font>
    <font>
      <b/>
      <sz val="11"/>
      <color rgb="FF026273"/>
      <name val="Verdana"/>
      <family val="2"/>
    </font>
    <font>
      <b/>
      <sz val="11"/>
      <color theme="1"/>
      <name val="Verdana"/>
      <family val="2"/>
      <scheme val="minor"/>
    </font>
    <font>
      <sz val="12"/>
      <color theme="1"/>
      <name val="Verdana"/>
      <family val="2"/>
      <scheme val="minor"/>
    </font>
    <font>
      <sz val="11"/>
      <name val="Verdana"/>
      <family val="2"/>
      <scheme val="minor"/>
    </font>
    <font>
      <b/>
      <sz val="16"/>
      <color rgb="FF0058B1"/>
      <name val="Verdana"/>
      <family val="2"/>
    </font>
    <font>
      <b/>
      <sz val="8"/>
      <color rgb="FF0058B1"/>
      <name val="Verdana"/>
      <family val="2"/>
    </font>
    <font>
      <b/>
      <sz val="12"/>
      <color rgb="FF0058B1"/>
      <name val="Verdana"/>
      <family val="2"/>
    </font>
    <font>
      <b/>
      <sz val="11"/>
      <color rgb="FF0058B1"/>
      <name val="Verdana"/>
      <family val="2"/>
    </font>
    <font>
      <sz val="9"/>
      <color rgb="FF0058B1"/>
      <name val="Verdana"/>
      <family val="2"/>
    </font>
    <font>
      <b/>
      <sz val="10"/>
      <color rgb="FF0058B1"/>
      <name val="Verdana"/>
      <family val="2"/>
    </font>
    <font>
      <b/>
      <sz val="9"/>
      <color rgb="FF0058B1"/>
      <name val="Verdana"/>
      <family val="2"/>
    </font>
    <font>
      <sz val="10"/>
      <name val="Verdana"/>
      <family val="2"/>
    </font>
    <font>
      <sz val="10"/>
      <color theme="1"/>
      <name val="Verdana"/>
      <family val="2"/>
      <scheme val="minor"/>
    </font>
    <font>
      <b/>
      <sz val="10"/>
      <color theme="1"/>
      <name val="Verdana"/>
      <family val="2"/>
      <scheme val="minor"/>
    </font>
    <font>
      <b/>
      <sz val="9"/>
      <color rgb="FFFF0000"/>
      <name val="Verdana"/>
      <family val="2"/>
    </font>
    <font>
      <u/>
      <sz val="11"/>
      <color theme="10"/>
      <name val="Verdana"/>
      <family val="2"/>
      <scheme val="minor"/>
    </font>
    <font>
      <b/>
      <sz val="14"/>
      <color rgb="FF0058B1"/>
      <name val="Verdana"/>
      <family val="2"/>
      <scheme val="major"/>
    </font>
    <font>
      <sz val="9"/>
      <color rgb="FFFF0000"/>
      <name val="Verdana"/>
      <family val="2"/>
    </font>
    <font>
      <sz val="10"/>
      <color theme="1"/>
      <name val="Verdana"/>
      <family val="2"/>
    </font>
    <font>
      <b/>
      <sz val="18"/>
      <color rgb="FF0058B1"/>
      <name val="Verdana"/>
      <family val="2"/>
      <scheme val="major"/>
    </font>
    <font>
      <b/>
      <sz val="12"/>
      <color rgb="FF0058B1"/>
      <name val="Verdana"/>
      <family val="2"/>
      <scheme val="major"/>
    </font>
    <font>
      <sz val="9"/>
      <color rgb="FF0058B1"/>
      <name val="Verdana"/>
      <family val="2"/>
      <scheme val="major"/>
    </font>
    <font>
      <sz val="11"/>
      <color rgb="FF0058B1"/>
      <name val="Verdana"/>
      <family val="2"/>
      <scheme val="major"/>
    </font>
    <font>
      <sz val="10"/>
      <color rgb="FF0058B1"/>
      <name val="Verdana"/>
      <family val="2"/>
      <scheme val="major"/>
    </font>
    <font>
      <sz val="10"/>
      <color rgb="FF0058B1"/>
      <name val="Verdana"/>
      <family val="2"/>
    </font>
    <font>
      <sz val="9"/>
      <color theme="0"/>
      <name val="Verdana"/>
      <family val="2"/>
      <scheme val="major"/>
    </font>
    <font>
      <sz val="9"/>
      <name val="Verdana"/>
      <family val="2"/>
      <scheme val="minor"/>
    </font>
    <font>
      <sz val="8"/>
      <color theme="0"/>
      <name val="Verdana"/>
      <family val="2"/>
      <scheme val="major"/>
    </font>
    <font>
      <b/>
      <sz val="10"/>
      <name val="Verdana"/>
      <family val="2"/>
      <scheme val="minor"/>
    </font>
    <font>
      <b/>
      <sz val="11"/>
      <color theme="1"/>
      <name val="Verdana"/>
      <family val="2"/>
    </font>
    <font>
      <b/>
      <sz val="10"/>
      <color rgb="FF1D477C"/>
      <name val="Verdana"/>
      <family val="2"/>
    </font>
    <font>
      <sz val="11"/>
      <name val="Calibri"/>
      <family val="2"/>
    </font>
    <font>
      <sz val="11"/>
      <color rgb="FF1D477C"/>
      <name val="Verdana"/>
      <family val="2"/>
    </font>
    <font>
      <sz val="10"/>
      <color theme="4"/>
      <name val="Verdana"/>
      <family val="2"/>
    </font>
    <font>
      <sz val="10"/>
      <color rgb="FF00B0F0"/>
      <name val="Verdana"/>
      <family val="2"/>
    </font>
    <font>
      <b/>
      <sz val="10"/>
      <color rgb="FF00B0F0"/>
      <name val="Verdana"/>
      <family val="2"/>
    </font>
    <font>
      <sz val="10"/>
      <color rgb="FF1D477C"/>
      <name val="Verdana"/>
      <family val="2"/>
    </font>
    <font>
      <sz val="11"/>
      <color rgb="FF0058B1"/>
      <name val="Verdana"/>
      <family val="2"/>
    </font>
    <font>
      <sz val="11"/>
      <color theme="0"/>
      <name val="Verdana"/>
      <family val="2"/>
    </font>
    <font>
      <b/>
      <sz val="11"/>
      <name val="Verdana"/>
      <family val="2"/>
      <scheme val="minor"/>
    </font>
    <font>
      <sz val="11"/>
      <color theme="4"/>
      <name val="Verdana"/>
      <family val="2"/>
    </font>
    <font>
      <b/>
      <sz val="11"/>
      <color rgb="FF00B0F0"/>
      <name val="Verdana"/>
      <family val="2"/>
    </font>
    <font>
      <b/>
      <sz val="16"/>
      <color rgb="FF1D477C"/>
      <name val="Verdana"/>
      <family val="2"/>
    </font>
    <font>
      <sz val="16"/>
      <color theme="1"/>
      <name val="Verdana"/>
      <family val="2"/>
    </font>
    <font>
      <sz val="14"/>
      <color theme="1"/>
      <name val="Verdana"/>
      <family val="2"/>
      <scheme val="major"/>
    </font>
    <font>
      <b/>
      <sz val="24"/>
      <color rgb="FF0058B1"/>
      <name val="Verdana"/>
      <family val="2"/>
      <scheme val="major"/>
    </font>
    <font>
      <sz val="12"/>
      <name val="Verdana"/>
      <family val="2"/>
      <scheme val="major"/>
    </font>
    <font>
      <b/>
      <sz val="12"/>
      <color rgb="FFFF0000"/>
      <name val="Verdana"/>
      <family val="2"/>
    </font>
    <font>
      <sz val="11"/>
      <color theme="0"/>
      <name val="Verdana"/>
      <family val="2"/>
      <scheme val="major"/>
    </font>
    <font>
      <sz val="10"/>
      <name val="Verdana"/>
      <family val="2"/>
      <scheme val="major"/>
    </font>
    <font>
      <sz val="10"/>
      <color theme="1"/>
      <name val="Verdana"/>
      <family val="2"/>
      <scheme val="major"/>
    </font>
    <font>
      <sz val="12"/>
      <color theme="0"/>
      <name val="Verdana"/>
      <family val="2"/>
      <scheme val="major"/>
    </font>
    <font>
      <b/>
      <sz val="8"/>
      <color theme="0"/>
      <name val="Verdana"/>
      <family val="2"/>
    </font>
    <font>
      <b/>
      <i/>
      <sz val="10"/>
      <color rgb="FF0058B1"/>
      <name val="Verdana"/>
      <family val="2"/>
    </font>
    <font>
      <b/>
      <sz val="9"/>
      <color theme="0"/>
      <name val="Verdana"/>
      <family val="2"/>
      <scheme val="minor"/>
    </font>
    <font>
      <b/>
      <sz val="9"/>
      <color rgb="FFFF0000"/>
      <name val="Verdana"/>
      <family val="2"/>
      <scheme val="minor"/>
    </font>
    <font>
      <sz val="9"/>
      <color theme="0"/>
      <name val="Verdana"/>
      <family val="2"/>
    </font>
    <font>
      <sz val="11"/>
      <color rgb="FFFF0000"/>
      <name val="Verdana"/>
      <family val="2"/>
      <scheme val="minor"/>
    </font>
    <font>
      <sz val="9"/>
      <color rgb="FFFF0000"/>
      <name val="Verdana"/>
      <family val="2"/>
      <scheme val="major"/>
    </font>
    <font>
      <sz val="8"/>
      <color rgb="FFFF0000"/>
      <name val="Verdana"/>
      <family val="2"/>
      <scheme val="major"/>
    </font>
    <font>
      <sz val="11"/>
      <color rgb="FFFF0000"/>
      <name val="Verdana"/>
      <family val="2"/>
    </font>
    <font>
      <b/>
      <sz val="12"/>
      <name val="Verdana"/>
      <family val="2"/>
      <scheme val="major"/>
    </font>
    <font>
      <sz val="11"/>
      <color rgb="FF0058B1"/>
      <name val="Verdana"/>
      <family val="2"/>
      <scheme val="minor"/>
    </font>
    <font>
      <b/>
      <sz val="11"/>
      <color rgb="FF0058B1"/>
      <name val="Verdana"/>
      <family val="2"/>
      <scheme val="major"/>
    </font>
    <font>
      <sz val="9"/>
      <color rgb="FF0058B1"/>
      <name val="Verdana"/>
      <family val="2"/>
      <scheme val="minor"/>
    </font>
    <font>
      <sz val="9"/>
      <color rgb="FF1D477C"/>
      <name val="Verdana"/>
      <family val="2"/>
      <scheme val="minor"/>
    </font>
    <font>
      <b/>
      <sz val="16"/>
      <color rgb="FFFF0000"/>
      <name val="Verdana"/>
      <family val="2"/>
    </font>
    <font>
      <sz val="10"/>
      <color theme="0"/>
      <name val="Verdana"/>
      <family val="2"/>
      <scheme val="major"/>
    </font>
    <font>
      <sz val="9"/>
      <color rgb="FFFF0000"/>
      <name val="Verdana"/>
      <family val="2"/>
    </font>
    <font>
      <b/>
      <sz val="9"/>
      <color theme="0"/>
      <name val="Verdana"/>
      <family val="2"/>
    </font>
    <font>
      <i/>
      <sz val="11"/>
      <color rgb="FF0058B1"/>
      <name val="Verdana"/>
      <family val="2"/>
    </font>
    <font>
      <b/>
      <sz val="10"/>
      <color rgb="FFFFFFFF"/>
      <name val="Times New Roman"/>
      <family val="1"/>
    </font>
    <font>
      <b/>
      <sz val="10"/>
      <color theme="1"/>
      <name val="Times New Roman"/>
      <family val="1"/>
    </font>
    <font>
      <b/>
      <sz val="10"/>
      <color rgb="FFFFFFFF"/>
      <name val="Verdana"/>
      <family val="2"/>
      <scheme val="minor"/>
    </font>
    <font>
      <b/>
      <sz val="10"/>
      <color theme="0"/>
      <name val="Verdana"/>
      <family val="2"/>
      <scheme val="minor"/>
    </font>
    <font>
      <sz val="18"/>
      <color theme="1"/>
      <name val="Verdana"/>
      <family val="2"/>
      <scheme val="minor"/>
    </font>
    <font>
      <b/>
      <sz val="14"/>
      <color rgb="FF1D477C"/>
      <name val="Verdana"/>
      <family val="2"/>
      <scheme val="major"/>
    </font>
    <font>
      <sz val="14"/>
      <color theme="1"/>
      <name val="Verdana"/>
      <family val="2"/>
      <scheme val="minor"/>
    </font>
    <font>
      <b/>
      <sz val="12"/>
      <color theme="1"/>
      <name val="Verdana"/>
      <family val="2"/>
      <scheme val="minor"/>
    </font>
    <font>
      <b/>
      <sz val="12"/>
      <color rgb="FF1D477C"/>
      <name val="Verdana"/>
      <family val="2"/>
      <scheme val="major"/>
    </font>
    <font>
      <sz val="12"/>
      <color theme="1"/>
      <name val="Verdana"/>
      <family val="2"/>
      <scheme val="major"/>
    </font>
    <font>
      <i/>
      <sz val="10"/>
      <color theme="1"/>
      <name val="Verdana"/>
      <family val="2"/>
      <scheme val="minor"/>
    </font>
    <font>
      <b/>
      <sz val="9"/>
      <color rgb="FF0058B1"/>
      <name val="Verdana"/>
      <family val="2"/>
    </font>
    <font>
      <sz val="9"/>
      <color theme="1"/>
      <name val="Verdana"/>
      <family val="2"/>
    </font>
    <font>
      <sz val="10"/>
      <color rgb="FFD6E4F2"/>
      <name val="Verdana"/>
      <family val="2"/>
    </font>
    <font>
      <sz val="12"/>
      <color rgb="FF0058B1"/>
      <name val="Verdana"/>
      <family val="2"/>
      <scheme val="major"/>
    </font>
    <font>
      <b/>
      <sz val="12"/>
      <color theme="0"/>
      <name val="Verdana"/>
      <family val="2"/>
      <scheme val="major"/>
    </font>
    <font>
      <b/>
      <sz val="9"/>
      <color rgb="FFFF0000"/>
      <name val="Verdana"/>
      <family val="2"/>
      <scheme val="major"/>
    </font>
    <font>
      <sz val="9"/>
      <color theme="0"/>
      <name val="Verdana"/>
      <family val="2"/>
      <scheme val="minor"/>
    </font>
    <font>
      <b/>
      <sz val="10"/>
      <color theme="2"/>
      <name val="Verdana"/>
      <family val="2"/>
      <scheme val="major"/>
    </font>
    <font>
      <b/>
      <sz val="12"/>
      <color theme="1"/>
      <name val="Verdana"/>
      <family val="2"/>
      <scheme val="major"/>
    </font>
    <font>
      <b/>
      <sz val="12"/>
      <color rgb="FFFF0000"/>
      <name val="Verdana"/>
      <family val="2"/>
      <scheme val="major"/>
    </font>
    <font>
      <b/>
      <sz val="11"/>
      <color theme="2"/>
      <name val="Verdana"/>
      <family val="2"/>
    </font>
    <font>
      <b/>
      <sz val="9"/>
      <color theme="2"/>
      <name val="Verdana"/>
      <family val="2"/>
      <scheme val="major"/>
    </font>
    <font>
      <b/>
      <sz val="9"/>
      <color rgb="FF0058B1"/>
      <name val="Verdana"/>
      <family val="2"/>
      <scheme val="major"/>
    </font>
    <font>
      <b/>
      <sz val="10"/>
      <color rgb="FF0058B1"/>
      <name val="Verdana"/>
      <family val="2"/>
      <scheme val="major"/>
    </font>
    <font>
      <b/>
      <sz val="11"/>
      <color theme="1"/>
      <name val="Verdana"/>
      <family val="2"/>
      <scheme val="major"/>
    </font>
    <font>
      <i/>
      <sz val="11"/>
      <color theme="1"/>
      <name val="Verdana"/>
      <family val="2"/>
      <scheme val="major"/>
    </font>
    <font>
      <sz val="12"/>
      <color rgb="FF0058B1"/>
      <name val="Verdana"/>
      <family val="2"/>
    </font>
    <font>
      <sz val="11"/>
      <color theme="2"/>
      <name val="Verdana"/>
      <family val="2"/>
      <scheme val="minor"/>
    </font>
    <font>
      <b/>
      <sz val="11"/>
      <color theme="2"/>
      <name val="Verdana"/>
      <family val="2"/>
      <scheme val="minor"/>
    </font>
    <font>
      <sz val="12"/>
      <name val="Verdana"/>
      <family val="2"/>
    </font>
    <font>
      <b/>
      <i/>
      <sz val="11"/>
      <color theme="1"/>
      <name val="Verdana"/>
      <family val="2"/>
      <scheme val="major"/>
    </font>
    <font>
      <b/>
      <sz val="10"/>
      <color theme="2"/>
      <name val="Verdana"/>
      <family val="2"/>
    </font>
    <font>
      <sz val="11"/>
      <color theme="2"/>
      <name val="Verdana"/>
      <family val="2"/>
    </font>
    <font>
      <b/>
      <sz val="10"/>
      <color rgb="FFFF0000"/>
      <name val="Verdana"/>
      <family val="2"/>
    </font>
    <font>
      <i/>
      <sz val="9"/>
      <name val="Verdana"/>
      <family val="2"/>
    </font>
    <font>
      <i/>
      <sz val="9"/>
      <name val="Verdana"/>
      <family val="2"/>
      <scheme val="minor"/>
    </font>
    <font>
      <b/>
      <sz val="9"/>
      <color rgb="FFFF0000"/>
      <name val="Verdana"/>
      <family val="2"/>
    </font>
    <font>
      <b/>
      <sz val="9"/>
      <color rgb="FF0058B1"/>
      <name val="Verdana"/>
      <family val="2"/>
    </font>
    <font>
      <b/>
      <sz val="20"/>
      <color theme="0"/>
      <name val="Verdana"/>
      <family val="2"/>
      <scheme val="major"/>
    </font>
    <font>
      <b/>
      <sz val="14"/>
      <name val="Verdana"/>
      <family val="2"/>
      <scheme val="minor"/>
    </font>
    <font>
      <sz val="11"/>
      <color rgb="FF7030A0"/>
      <name val="Verdana"/>
      <family val="2"/>
      <scheme val="minor"/>
    </font>
    <font>
      <sz val="9"/>
      <color rgb="FF0070C0"/>
      <name val="Verdana"/>
      <family val="2"/>
    </font>
    <font>
      <b/>
      <sz val="11"/>
      <color rgb="FF0070C0"/>
      <name val="Verdana"/>
      <family val="2"/>
    </font>
  </fonts>
  <fills count="36">
    <fill>
      <patternFill patternType="none"/>
    </fill>
    <fill>
      <patternFill patternType="gray125"/>
    </fill>
    <fill>
      <patternFill patternType="solid">
        <fgColor rgb="FFD6E4F2"/>
        <bgColor indexed="64"/>
      </patternFill>
    </fill>
    <fill>
      <patternFill patternType="solid">
        <fgColor rgb="FFFFFF00"/>
        <bgColor indexed="64"/>
      </patternFill>
    </fill>
    <fill>
      <patternFill patternType="solid">
        <fgColor rgb="FFFDECE3"/>
        <bgColor indexed="64"/>
      </patternFill>
    </fill>
    <fill>
      <patternFill patternType="solid">
        <fgColor rgb="FF0058B1"/>
        <bgColor indexed="64"/>
      </patternFill>
    </fill>
    <fill>
      <patternFill patternType="solid">
        <fgColor rgb="FFFF0000"/>
        <bgColor indexed="64"/>
      </patternFill>
    </fill>
    <fill>
      <patternFill patternType="solid">
        <fgColor rgb="FFFFC000"/>
        <bgColor indexed="64"/>
      </patternFill>
    </fill>
    <fill>
      <patternFill patternType="solid">
        <fgColor rgb="FFE7F3FF"/>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1272BD"/>
        <bgColor indexed="64"/>
      </patternFill>
    </fill>
    <fill>
      <patternFill patternType="solid">
        <fgColor rgb="FF70359D"/>
        <bgColor indexed="64"/>
      </patternFill>
    </fill>
    <fill>
      <patternFill patternType="solid">
        <fgColor rgb="FFFEFD38"/>
        <bgColor indexed="64"/>
      </patternFill>
    </fill>
    <fill>
      <patternFill patternType="solid">
        <fgColor rgb="FFFC101B"/>
        <bgColor indexed="64"/>
      </patternFill>
    </fill>
    <fill>
      <patternFill patternType="solid">
        <fgColor rgb="FF19AE55"/>
        <bgColor indexed="64"/>
      </patternFill>
    </fill>
    <fill>
      <patternFill patternType="solid">
        <fgColor theme="2"/>
        <bgColor indexed="64"/>
      </patternFill>
    </fill>
    <fill>
      <patternFill patternType="solid">
        <fgColor rgb="FF92D050"/>
        <bgColor indexed="64"/>
      </patternFill>
    </fill>
    <fill>
      <patternFill patternType="solid">
        <fgColor rgb="FFFCEFE0"/>
        <bgColor indexed="64"/>
      </patternFill>
    </fill>
    <fill>
      <patternFill patternType="solid">
        <fgColor rgb="FFFFD85B"/>
        <bgColor indexed="64"/>
      </patternFill>
    </fill>
    <fill>
      <patternFill patternType="solid">
        <fgColor rgb="FFFFFFCC"/>
        <bgColor indexed="64"/>
      </patternFill>
    </fill>
    <fill>
      <patternFill patternType="solid">
        <fgColor theme="7" tint="0.79998168889431442"/>
        <bgColor indexed="64"/>
      </patternFill>
    </fill>
    <fill>
      <patternFill patternType="solid">
        <fgColor theme="2" tint="0.39997558519241921"/>
        <bgColor indexed="64"/>
      </patternFill>
    </fill>
    <fill>
      <patternFill patternType="solid">
        <fgColor theme="4" tint="-0.249977111117893"/>
        <bgColor indexed="64"/>
      </patternFill>
    </fill>
    <fill>
      <patternFill patternType="solid">
        <fgColor rgb="FF7030A0"/>
      </patternFill>
    </fill>
    <fill>
      <patternFill patternType="solid">
        <fgColor rgb="FFFFFF00"/>
      </patternFill>
    </fill>
    <fill>
      <patternFill patternType="solid">
        <fgColor rgb="FF4472C4"/>
      </patternFill>
    </fill>
    <fill>
      <patternFill patternType="solid">
        <fgColor rgb="FFFF0000"/>
      </patternFill>
    </fill>
    <fill>
      <patternFill patternType="solid">
        <fgColor rgb="FF00B050"/>
      </patternFill>
    </fill>
    <fill>
      <patternFill patternType="solid">
        <fgColor rgb="FFFFCC66"/>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auto="1"/>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tted">
        <color indexed="64"/>
      </bottom>
      <diagonal/>
    </border>
    <border>
      <left style="thin">
        <color auto="1"/>
      </left>
      <right/>
      <top style="dotted">
        <color indexed="64"/>
      </top>
      <bottom style="dotted">
        <color indexed="64"/>
      </bottom>
      <diagonal/>
    </border>
    <border>
      <left/>
      <right/>
      <top style="dotted">
        <color auto="1"/>
      </top>
      <bottom style="dotted">
        <color auto="1"/>
      </bottom>
      <diagonal/>
    </border>
    <border>
      <left/>
      <right/>
      <top style="dotted">
        <color auto="1"/>
      </top>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thin">
        <color indexed="64"/>
      </top>
      <bottom style="dotted">
        <color indexed="64"/>
      </bottom>
      <diagonal/>
    </border>
    <border>
      <left/>
      <right/>
      <top/>
      <bottom style="thin">
        <color rgb="FF0058B1"/>
      </bottom>
      <diagonal/>
    </border>
    <border>
      <left/>
      <right/>
      <top/>
      <bottom style="medium">
        <color rgb="FF0058B1"/>
      </bottom>
      <diagonal/>
    </border>
    <border>
      <left/>
      <right style="medium">
        <color indexed="64"/>
      </right>
      <top style="medium">
        <color indexed="64"/>
      </top>
      <bottom style="medium">
        <color theme="1"/>
      </bottom>
      <diagonal/>
    </border>
    <border>
      <left/>
      <right/>
      <top style="thin">
        <color rgb="FF0058B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top/>
      <bottom style="medium">
        <color rgb="FF026273"/>
      </bottom>
      <diagonal/>
    </border>
    <border>
      <left/>
      <right/>
      <top/>
      <bottom style="thin">
        <color theme="1"/>
      </bottom>
      <diagonal/>
    </border>
    <border>
      <left/>
      <right/>
      <top style="medium">
        <color rgb="FF0058B1"/>
      </top>
      <bottom style="thin">
        <color auto="1"/>
      </bottom>
      <diagonal/>
    </border>
    <border>
      <left style="thin">
        <color indexed="64"/>
      </left>
      <right style="medium">
        <color indexed="64"/>
      </right>
      <top style="thin">
        <color indexed="64"/>
      </top>
      <bottom style="medium">
        <color theme="1"/>
      </bottom>
      <diagonal/>
    </border>
    <border>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right/>
      <top style="medium">
        <color indexed="64"/>
      </top>
      <bottom style="medium">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auto="1"/>
      </left>
      <right/>
      <top style="thin">
        <color indexed="64"/>
      </top>
      <bottom style="dotted">
        <color indexed="64"/>
      </bottom>
      <diagonal/>
    </border>
    <border>
      <left style="thin">
        <color auto="1"/>
      </left>
      <right/>
      <top style="dotted">
        <color indexed="64"/>
      </top>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thin">
        <color auto="1"/>
      </left>
      <right/>
      <top/>
      <bottom style="dotted">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dotted">
        <color indexed="64"/>
      </left>
      <right style="dotted">
        <color indexed="64"/>
      </right>
      <top style="dotted">
        <color indexed="64"/>
      </top>
      <bottom style="thin">
        <color indexed="64"/>
      </bottom>
      <diagonal/>
    </border>
    <border>
      <left/>
      <right style="dotted">
        <color auto="1"/>
      </right>
      <top style="thin">
        <color auto="1"/>
      </top>
      <bottom style="dotted">
        <color auto="1"/>
      </bottom>
      <diagonal/>
    </border>
    <border>
      <left style="dotted">
        <color auto="1"/>
      </left>
      <right style="thin">
        <color indexed="64"/>
      </right>
      <top style="thin">
        <color auto="1"/>
      </top>
      <bottom style="dotted">
        <color indexed="64"/>
      </bottom>
      <diagonal/>
    </border>
    <border>
      <left style="dotted">
        <color auto="1"/>
      </left>
      <right style="thin">
        <color indexed="64"/>
      </right>
      <top style="dotted">
        <color indexed="64"/>
      </top>
      <bottom style="dotted">
        <color indexed="64"/>
      </bottom>
      <diagonal/>
    </border>
    <border>
      <left/>
      <right style="dotted">
        <color auto="1"/>
      </right>
      <top style="dotted">
        <color indexed="64"/>
      </top>
      <bottom style="thin">
        <color indexed="64"/>
      </bottom>
      <diagonal/>
    </border>
    <border>
      <left style="dotted">
        <color auto="1"/>
      </left>
      <right style="thin">
        <color indexed="64"/>
      </right>
      <top style="dotted">
        <color indexed="64"/>
      </top>
      <bottom style="thin">
        <color indexed="64"/>
      </bottom>
      <diagonal/>
    </border>
    <border>
      <left/>
      <right style="dotted">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style="dotted">
        <color auto="1"/>
      </left>
      <right style="thin">
        <color indexed="64"/>
      </right>
      <top style="thin">
        <color indexed="64"/>
      </top>
      <bottom style="thin">
        <color indexed="64"/>
      </bottom>
      <diagonal/>
    </border>
    <border>
      <left style="thin">
        <color auto="1"/>
      </left>
      <right style="dotted">
        <color auto="1"/>
      </right>
      <top style="thin">
        <color auto="1"/>
      </top>
      <bottom style="thin">
        <color indexed="64"/>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indexed="64"/>
      </top>
      <bottom style="thin">
        <color indexed="64"/>
      </bottom>
      <diagonal/>
    </border>
    <border>
      <left style="thin">
        <color auto="1"/>
      </left>
      <right style="dotted">
        <color auto="1"/>
      </right>
      <top style="dotted">
        <color indexed="64"/>
      </top>
      <bottom style="dotted">
        <color indexed="64"/>
      </bottom>
      <diagonal/>
    </border>
    <border>
      <left/>
      <right style="hair">
        <color indexed="64"/>
      </right>
      <top style="thin">
        <color indexed="64"/>
      </top>
      <bottom style="thin">
        <color indexed="64"/>
      </bottom>
      <diagonal/>
    </border>
    <border>
      <left style="hair">
        <color indexed="64"/>
      </left>
      <right style="dotted">
        <color auto="1"/>
      </right>
      <top style="thin">
        <color indexed="64"/>
      </top>
      <bottom style="thin">
        <color indexed="64"/>
      </bottom>
      <diagonal/>
    </border>
    <border>
      <left/>
      <right style="hair">
        <color indexed="64"/>
      </right>
      <top style="thin">
        <color indexed="64"/>
      </top>
      <bottom style="dotted">
        <color indexed="64"/>
      </bottom>
      <diagonal/>
    </border>
    <border>
      <left style="hair">
        <color indexed="64"/>
      </left>
      <right style="dotted">
        <color auto="1"/>
      </right>
      <top style="thin">
        <color auto="1"/>
      </top>
      <bottom style="dotted">
        <color auto="1"/>
      </bottom>
      <diagonal/>
    </border>
    <border>
      <left/>
      <right style="hair">
        <color indexed="64"/>
      </right>
      <top style="dotted">
        <color indexed="64"/>
      </top>
      <bottom style="thin">
        <color indexed="64"/>
      </bottom>
      <diagonal/>
    </border>
    <border>
      <left style="hair">
        <color indexed="64"/>
      </left>
      <right style="dotted">
        <color auto="1"/>
      </right>
      <top style="dotted">
        <color indexed="64"/>
      </top>
      <bottom style="thin">
        <color indexed="64"/>
      </bottom>
      <diagonal/>
    </border>
    <border>
      <left/>
      <right style="hair">
        <color indexed="64"/>
      </right>
      <top style="dotted">
        <color indexed="64"/>
      </top>
      <bottom style="dotted">
        <color indexed="64"/>
      </bottom>
      <diagonal/>
    </border>
    <border>
      <left style="hair">
        <color indexed="64"/>
      </left>
      <right style="dotted">
        <color auto="1"/>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auto="1"/>
      </right>
      <top/>
      <bottom style="thin">
        <color auto="1"/>
      </bottom>
      <diagonal/>
    </border>
    <border>
      <left style="dotted">
        <color auto="1"/>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auto="1"/>
      </right>
      <top style="thin">
        <color indexed="64"/>
      </top>
      <bottom/>
      <diagonal/>
    </border>
    <border>
      <left style="thin">
        <color indexed="64"/>
      </left>
      <right style="dotted">
        <color auto="1"/>
      </right>
      <top/>
      <bottom style="dotted">
        <color indexed="64"/>
      </bottom>
      <diagonal/>
    </border>
    <border>
      <left style="thin">
        <color indexed="64"/>
      </left>
      <right style="dotted">
        <color auto="1"/>
      </right>
      <top/>
      <bottom style="thin">
        <color auto="1"/>
      </bottom>
      <diagonal/>
    </border>
    <border>
      <left/>
      <right style="dotted">
        <color indexed="64"/>
      </right>
      <top style="dotted">
        <color indexed="64"/>
      </top>
      <bottom/>
      <diagonal/>
    </border>
    <border>
      <left/>
      <right/>
      <top style="medium">
        <color rgb="FF026273"/>
      </top>
      <bottom/>
      <diagonal/>
    </border>
    <border>
      <left style="thin">
        <color indexed="64"/>
      </left>
      <right style="dotted">
        <color auto="1"/>
      </right>
      <top style="dotted">
        <color indexed="64"/>
      </top>
      <bottom/>
      <diagonal/>
    </border>
    <border>
      <left style="dotted">
        <color indexed="64"/>
      </left>
      <right style="dotted">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bottom/>
      <diagonal/>
    </border>
    <border>
      <left style="dashed">
        <color auto="1"/>
      </left>
      <right style="medium">
        <color indexed="64"/>
      </right>
      <top/>
      <bottom/>
      <diagonal/>
    </border>
    <border>
      <left style="dashed">
        <color indexed="64"/>
      </left>
      <right style="thin">
        <color indexed="64"/>
      </right>
      <top style="thin">
        <color indexed="64"/>
      </top>
      <bottom/>
      <diagonal/>
    </border>
    <border>
      <left/>
      <right style="medium">
        <color auto="1"/>
      </right>
      <top/>
      <bottom style="thin">
        <color indexed="64"/>
      </bottom>
      <diagonal/>
    </border>
    <border>
      <left style="dashed">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4"/>
      </right>
      <top/>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medium">
        <color rgb="FF0058B1"/>
      </top>
      <bottom/>
      <diagonal/>
    </border>
    <border>
      <left/>
      <right style="dotted">
        <color auto="1"/>
      </right>
      <top/>
      <bottom/>
      <diagonal/>
    </border>
    <border>
      <left style="dotted">
        <color indexed="64"/>
      </left>
      <right style="dotted">
        <color indexed="64"/>
      </right>
      <top/>
      <bottom/>
      <diagonal/>
    </border>
    <border>
      <left style="dotted">
        <color auto="1"/>
      </left>
      <right style="thin">
        <color indexed="64"/>
      </right>
      <top/>
      <bottom/>
      <diagonal/>
    </border>
    <border>
      <left style="dotted">
        <color auto="1"/>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43" fillId="0" borderId="0"/>
    <xf numFmtId="0" fontId="56" fillId="0" borderId="0" applyNumberFormat="0" applyFill="0" applyBorder="0" applyAlignment="0" applyProtection="0"/>
    <xf numFmtId="0" fontId="1" fillId="0" borderId="0"/>
    <xf numFmtId="0" fontId="1" fillId="0" borderId="0"/>
  </cellStyleXfs>
  <cellXfs count="1297">
    <xf numFmtId="0" fontId="0" fillId="0" borderId="0" xfId="0"/>
    <xf numFmtId="0" fontId="0" fillId="0" borderId="0" xfId="0" applyAlignment="1">
      <alignment horizontal="left"/>
    </xf>
    <xf numFmtId="0" fontId="13" fillId="0" borderId="0" xfId="0" applyFont="1" applyAlignment="1">
      <alignment vertical="top" wrapText="1"/>
    </xf>
    <xf numFmtId="0" fontId="28" fillId="2" borderId="0" xfId="0" applyFont="1" applyFill="1" applyAlignment="1">
      <alignment horizontal="left" vertical="center"/>
    </xf>
    <xf numFmtId="0" fontId="28" fillId="2" borderId="0" xfId="0" applyFont="1" applyFill="1" applyAlignment="1">
      <alignment horizontal="center" vertical="center"/>
    </xf>
    <xf numFmtId="0" fontId="29" fillId="0" borderId="0" xfId="0" applyFont="1" applyAlignment="1">
      <alignment vertical="top" wrapText="1"/>
    </xf>
    <xf numFmtId="0" fontId="30" fillId="2" borderId="0" xfId="0" applyFont="1" applyFill="1" applyAlignment="1">
      <alignment horizontal="left"/>
    </xf>
    <xf numFmtId="0" fontId="31" fillId="0" borderId="1" xfId="0" applyFont="1" applyBorder="1" applyAlignment="1">
      <alignment wrapText="1"/>
    </xf>
    <xf numFmtId="0" fontId="32" fillId="0" borderId="3" xfId="0" applyFont="1" applyFill="1" applyBorder="1" applyAlignment="1">
      <alignment horizontal="left" wrapText="1"/>
    </xf>
    <xf numFmtId="0" fontId="31" fillId="0" borderId="0" xfId="0" applyFont="1" applyAlignment="1">
      <alignment wrapText="1"/>
    </xf>
    <xf numFmtId="0" fontId="29" fillId="0" borderId="4" xfId="0" applyFont="1" applyBorder="1" applyAlignment="1">
      <alignment vertical="top" wrapText="1"/>
    </xf>
    <xf numFmtId="0" fontId="29" fillId="0" borderId="6" xfId="0" applyFont="1" applyFill="1" applyBorder="1" applyAlignment="1">
      <alignment horizontal="left" vertical="top" wrapText="1"/>
    </xf>
    <xf numFmtId="0" fontId="35" fillId="2" borderId="0" xfId="0" applyFont="1" applyFill="1" applyBorder="1" applyAlignment="1" applyProtection="1">
      <alignment horizontal="left" vertical="center" wrapText="1"/>
      <protection locked="0"/>
    </xf>
    <xf numFmtId="0" fontId="29" fillId="0" borderId="0" xfId="0" applyFont="1" applyAlignment="1">
      <alignment horizontal="center" vertical="top" wrapText="1"/>
    </xf>
    <xf numFmtId="0" fontId="36" fillId="0" borderId="14" xfId="0" applyFont="1" applyBorder="1" applyAlignment="1">
      <alignment horizontal="center" vertical="center" wrapText="1"/>
    </xf>
    <xf numFmtId="0" fontId="29" fillId="0" borderId="16" xfId="0" applyFont="1" applyBorder="1" applyAlignment="1">
      <alignment horizontal="center" vertical="top" wrapText="1"/>
    </xf>
    <xf numFmtId="0" fontId="35" fillId="2" borderId="0" xfId="0" applyFont="1" applyFill="1" applyBorder="1" applyAlignment="1" applyProtection="1">
      <alignment horizontal="center" vertical="center" wrapText="1"/>
      <protection locked="0"/>
    </xf>
    <xf numFmtId="0" fontId="29" fillId="0" borderId="0" xfId="0" applyFont="1" applyAlignment="1">
      <alignment vertical="center" wrapText="1"/>
    </xf>
    <xf numFmtId="0" fontId="36" fillId="0" borderId="5" xfId="0" applyFont="1" applyBorder="1" applyAlignment="1">
      <alignment horizontal="center" vertical="center" wrapText="1"/>
    </xf>
    <xf numFmtId="0" fontId="29" fillId="0" borderId="5" xfId="0" applyFont="1" applyBorder="1" applyAlignment="1">
      <alignment vertical="top" wrapText="1"/>
    </xf>
    <xf numFmtId="0" fontId="0" fillId="0" borderId="0" xfId="0" applyFont="1" applyAlignment="1">
      <alignment horizontal="center"/>
    </xf>
    <xf numFmtId="9" fontId="11" fillId="0" borderId="0" xfId="1" applyFont="1" applyAlignment="1">
      <alignment horizontal="center"/>
    </xf>
    <xf numFmtId="0" fontId="11" fillId="0" borderId="0" xfId="0" applyFont="1" applyAlignment="1">
      <alignment horizontal="center"/>
    </xf>
    <xf numFmtId="0" fontId="13" fillId="0" borderId="0" xfId="0" applyFont="1" applyAlignment="1">
      <alignment wrapText="1"/>
    </xf>
    <xf numFmtId="0" fontId="42" fillId="0" borderId="0" xfId="0" applyFont="1"/>
    <xf numFmtId="0" fontId="11" fillId="0" borderId="0" xfId="0" applyFont="1"/>
    <xf numFmtId="0" fontId="37" fillId="2" borderId="0" xfId="0" applyFont="1" applyFill="1" applyAlignment="1">
      <alignment horizontal="left" vertical="center"/>
    </xf>
    <xf numFmtId="0" fontId="34" fillId="0" borderId="4" xfId="0" applyFont="1" applyBorder="1" applyAlignment="1">
      <alignment vertical="top" wrapText="1"/>
    </xf>
    <xf numFmtId="0" fontId="33" fillId="0" borderId="0" xfId="0" applyFont="1" applyFill="1" applyBorder="1" applyAlignment="1">
      <alignment vertical="center"/>
    </xf>
    <xf numFmtId="0" fontId="34" fillId="0" borderId="6" xfId="0" applyFont="1" applyFill="1" applyBorder="1" applyAlignment="1">
      <alignment horizontal="left" vertical="top" wrapText="1"/>
    </xf>
    <xf numFmtId="0" fontId="34" fillId="0" borderId="4" xfId="0" applyFont="1" applyBorder="1" applyAlignment="1">
      <alignment vertical="center"/>
    </xf>
    <xf numFmtId="0" fontId="34" fillId="0" borderId="6" xfId="0" applyFont="1" applyFill="1" applyBorder="1" applyAlignment="1">
      <alignment horizontal="left" vertical="center"/>
    </xf>
    <xf numFmtId="0" fontId="60" fillId="0" borderId="0" xfId="0" applyFont="1" applyFill="1" applyBorder="1" applyAlignment="1">
      <alignment horizontal="center"/>
    </xf>
    <xf numFmtId="0" fontId="62" fillId="0" borderId="0" xfId="0" applyFont="1" applyBorder="1" applyAlignment="1">
      <alignment horizontal="center" vertical="center"/>
    </xf>
    <xf numFmtId="0" fontId="29" fillId="0" borderId="0" xfId="0" applyFont="1" applyBorder="1" applyAlignment="1">
      <alignment vertical="top" wrapText="1"/>
    </xf>
    <xf numFmtId="0" fontId="31" fillId="0" borderId="2" xfId="0" applyFont="1" applyBorder="1" applyAlignment="1">
      <alignment wrapText="1"/>
    </xf>
    <xf numFmtId="0" fontId="34" fillId="0" borderId="0" xfId="0" applyFont="1" applyBorder="1" applyAlignment="1">
      <alignment vertical="top" wrapText="1"/>
    </xf>
    <xf numFmtId="0" fontId="34" fillId="0" borderId="0" xfId="0" applyFont="1" applyBorder="1" applyAlignment="1">
      <alignment vertical="center"/>
    </xf>
    <xf numFmtId="0" fontId="29" fillId="0" borderId="4" xfId="0" applyFont="1" applyBorder="1" applyAlignment="1">
      <alignment vertical="center" wrapText="1"/>
    </xf>
    <xf numFmtId="0" fontId="85" fillId="0" borderId="0" xfId="0" applyFont="1" applyBorder="1" applyAlignment="1">
      <alignment vertical="center" wrapText="1"/>
    </xf>
    <xf numFmtId="0" fontId="29" fillId="0" borderId="6" xfId="0" applyFont="1" applyFill="1" applyBorder="1" applyAlignment="1">
      <alignment horizontal="left" vertical="center" wrapText="1"/>
    </xf>
    <xf numFmtId="0" fontId="33" fillId="0" borderId="0" xfId="0" applyFont="1" applyFill="1" applyBorder="1" applyAlignment="1"/>
    <xf numFmtId="0" fontId="35" fillId="0" borderId="0" xfId="0" applyFont="1" applyFill="1" applyBorder="1" applyAlignment="1" applyProtection="1">
      <alignment horizontal="left" vertical="center" wrapText="1"/>
      <protection locked="0"/>
    </xf>
    <xf numFmtId="0" fontId="28" fillId="0" borderId="0" xfId="0" applyFont="1" applyFill="1" applyBorder="1" applyAlignment="1">
      <alignment horizontal="left" vertical="center"/>
    </xf>
    <xf numFmtId="0" fontId="30" fillId="0" borderId="0" xfId="0" applyFont="1" applyFill="1" applyBorder="1" applyAlignment="1">
      <alignment horizontal="left"/>
    </xf>
    <xf numFmtId="0" fontId="37" fillId="0" borderId="0" xfId="0" applyFont="1" applyFill="1" applyBorder="1" applyAlignment="1">
      <alignment horizontal="left" vertical="center"/>
    </xf>
    <xf numFmtId="0" fontId="29" fillId="0" borderId="0" xfId="0" applyFont="1" applyFill="1" applyBorder="1" applyAlignment="1">
      <alignment horizontal="center" vertical="top" wrapText="1"/>
    </xf>
    <xf numFmtId="0" fontId="29" fillId="0" borderId="0" xfId="0" applyFont="1" applyAlignment="1">
      <alignment horizontal="center" vertical="center" wrapText="1"/>
    </xf>
    <xf numFmtId="0" fontId="60" fillId="0" borderId="0" xfId="0" applyFont="1" applyFill="1" applyBorder="1" applyAlignment="1">
      <alignment horizontal="center" vertical="center"/>
    </xf>
    <xf numFmtId="0" fontId="31"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86"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34" fillId="0" borderId="6" xfId="0" applyFont="1" applyFill="1" applyBorder="1" applyAlignment="1">
      <alignment horizontal="left" vertical="center" wrapText="1"/>
    </xf>
    <xf numFmtId="0" fontId="29" fillId="0" borderId="0" xfId="0" applyFont="1" applyFill="1" applyAlignment="1">
      <alignment vertical="top" wrapText="1"/>
    </xf>
    <xf numFmtId="0" fontId="29" fillId="0" borderId="0" xfId="0" applyFont="1" applyFill="1" applyAlignment="1">
      <alignment horizontal="center" vertical="center"/>
    </xf>
    <xf numFmtId="0" fontId="29" fillId="0" borderId="0" xfId="0" applyFont="1" applyFill="1" applyAlignment="1">
      <alignment horizontal="left" vertical="center"/>
    </xf>
    <xf numFmtId="0" fontId="89" fillId="0" borderId="0" xfId="0" applyFont="1" applyFill="1" applyBorder="1" applyAlignment="1">
      <alignment horizontal="center" vertical="center"/>
    </xf>
    <xf numFmtId="0" fontId="89" fillId="0" borderId="4" xfId="0" applyFont="1" applyFill="1" applyBorder="1" applyAlignment="1">
      <alignment horizontal="center" vertical="top" wrapText="1"/>
    </xf>
    <xf numFmtId="0" fontId="68" fillId="0" borderId="0" xfId="0" applyFont="1" applyFill="1" applyAlignment="1">
      <alignment horizontal="left" vertical="top"/>
    </xf>
    <xf numFmtId="0" fontId="90" fillId="0" borderId="0" xfId="0" applyFont="1" applyFill="1" applyBorder="1" applyAlignment="1">
      <alignment horizontal="left" vertical="center"/>
    </xf>
    <xf numFmtId="0" fontId="91" fillId="0" borderId="0" xfId="0" applyFont="1" applyFill="1" applyAlignment="1">
      <alignment horizontal="center" vertical="center"/>
    </xf>
    <xf numFmtId="0" fontId="64" fillId="0" borderId="0" xfId="0" applyFont="1" applyAlignment="1">
      <alignment vertical="top" wrapText="1"/>
    </xf>
    <xf numFmtId="0" fontId="64" fillId="0" borderId="0" xfId="0" applyFont="1" applyAlignment="1">
      <alignment horizontal="left" vertical="center" wrapText="1"/>
    </xf>
    <xf numFmtId="0" fontId="64" fillId="0" borderId="0" xfId="0" applyFont="1" applyAlignment="1">
      <alignment horizontal="left" vertical="center"/>
    </xf>
    <xf numFmtId="0" fontId="64" fillId="0" borderId="0" xfId="0" applyFont="1" applyAlignment="1">
      <alignment horizontal="left" vertical="center" wrapText="1" indent="11"/>
    </xf>
    <xf numFmtId="0" fontId="64" fillId="0" borderId="0" xfId="0" applyFont="1" applyAlignment="1">
      <alignment horizontal="left" vertical="center" wrapText="1" indent="15"/>
    </xf>
    <xf numFmtId="0" fontId="92" fillId="0" borderId="0" xfId="0" applyFont="1" applyFill="1" applyBorder="1" applyAlignment="1">
      <alignment horizontal="right" vertical="center"/>
    </xf>
    <xf numFmtId="0" fontId="60" fillId="0" borderId="0" xfId="0" applyFont="1" applyAlignment="1">
      <alignment horizontal="left" vertical="center"/>
    </xf>
    <xf numFmtId="0" fontId="42" fillId="0" borderId="0" xfId="0" applyFont="1" applyAlignment="1">
      <alignment horizontal="center"/>
    </xf>
    <xf numFmtId="0" fontId="86" fillId="0" borderId="0" xfId="0" applyFont="1" applyBorder="1" applyAlignment="1">
      <alignment horizontal="left" vertical="center"/>
    </xf>
    <xf numFmtId="0" fontId="57" fillId="0" borderId="0" xfId="0" applyFont="1" applyFill="1" applyBorder="1" applyAlignment="1">
      <alignment vertical="center"/>
    </xf>
    <xf numFmtId="0" fontId="86" fillId="0" borderId="0" xfId="0" applyFont="1" applyFill="1" applyBorder="1" applyAlignment="1">
      <alignment vertical="center"/>
    </xf>
    <xf numFmtId="9" fontId="0" fillId="0" borderId="0" xfId="0" applyNumberFormat="1" applyAlignment="1">
      <alignment horizontal="left"/>
    </xf>
    <xf numFmtId="0" fontId="66" fillId="0" borderId="0" xfId="0" applyFont="1" applyFill="1" applyAlignment="1">
      <alignment horizontal="left" vertical="center"/>
    </xf>
    <xf numFmtId="0" fontId="80" fillId="0" borderId="0" xfId="0" applyFont="1" applyFill="1" applyBorder="1" applyAlignment="1">
      <alignment horizontal="left" vertical="center"/>
    </xf>
    <xf numFmtId="0" fontId="99" fillId="0" borderId="0" xfId="0" applyFont="1" applyAlignment="1">
      <alignment vertical="top" wrapText="1"/>
    </xf>
    <xf numFmtId="0" fontId="100" fillId="0" borderId="0" xfId="0" applyFont="1" applyAlignment="1">
      <alignment wrapText="1"/>
    </xf>
    <xf numFmtId="0" fontId="99" fillId="0" borderId="0" xfId="0" applyFont="1" applyAlignment="1">
      <alignment vertical="center" wrapText="1"/>
    </xf>
    <xf numFmtId="0" fontId="99" fillId="0" borderId="0" xfId="0" applyFont="1" applyAlignment="1">
      <alignment horizontal="center" vertical="top" wrapText="1"/>
    </xf>
    <xf numFmtId="0" fontId="92" fillId="0" borderId="0" xfId="0" applyFont="1" applyFill="1" applyBorder="1" applyAlignment="1">
      <alignment horizontal="left" vertical="center"/>
    </xf>
    <xf numFmtId="0" fontId="66" fillId="0" borderId="0" xfId="0" applyFont="1" applyFill="1" applyAlignment="1">
      <alignment horizontal="right" vertical="center"/>
    </xf>
    <xf numFmtId="0" fontId="66" fillId="0" borderId="0" xfId="0" applyFont="1" applyFill="1" applyAlignment="1">
      <alignment horizontal="right" vertical="top"/>
    </xf>
    <xf numFmtId="0" fontId="89" fillId="0" borderId="0" xfId="0" applyFont="1" applyFill="1" applyBorder="1" applyAlignment="1">
      <alignment horizontal="right" vertical="center"/>
    </xf>
    <xf numFmtId="0" fontId="89" fillId="0" borderId="4" xfId="0" applyFont="1" applyBorder="1" applyAlignment="1">
      <alignment horizontal="left" vertical="center" wrapText="1"/>
    </xf>
    <xf numFmtId="0" fontId="89" fillId="0" borderId="4" xfId="0" applyFont="1" applyBorder="1" applyAlignment="1">
      <alignment horizontal="left" vertical="center"/>
    </xf>
    <xf numFmtId="0" fontId="89" fillId="0" borderId="0" xfId="0" applyFont="1" applyBorder="1" applyAlignment="1">
      <alignment horizontal="left" vertical="center"/>
    </xf>
    <xf numFmtId="0" fontId="89" fillId="0" borderId="0" xfId="0" applyFont="1" applyBorder="1" applyAlignment="1">
      <alignment horizontal="left" vertical="center" wrapText="1"/>
    </xf>
    <xf numFmtId="0" fontId="102" fillId="0" borderId="5" xfId="0" applyFont="1" applyFill="1" applyBorder="1" applyAlignment="1">
      <alignment horizontal="left" vertical="center"/>
    </xf>
    <xf numFmtId="0" fontId="102" fillId="0" borderId="5" xfId="0" applyFont="1" applyFill="1" applyBorder="1" applyAlignment="1">
      <alignment horizontal="center" vertical="center"/>
    </xf>
    <xf numFmtId="0" fontId="103" fillId="0" borderId="0" xfId="0" applyFont="1" applyFill="1" applyAlignment="1">
      <alignment horizontal="left"/>
    </xf>
    <xf numFmtId="0" fontId="96" fillId="0" borderId="0" xfId="0" applyFont="1" applyFill="1" applyBorder="1" applyAlignment="1">
      <alignment horizontal="center" vertical="top"/>
    </xf>
    <xf numFmtId="0" fontId="104" fillId="0" borderId="0" xfId="0" applyFont="1" applyFill="1" applyBorder="1" applyAlignment="1">
      <alignment horizontal="left" vertical="center"/>
    </xf>
    <xf numFmtId="0" fontId="95" fillId="5" borderId="28" xfId="0" applyFont="1" applyFill="1" applyBorder="1" applyAlignment="1">
      <alignment horizontal="center" vertical="center"/>
    </xf>
    <xf numFmtId="0" fontId="11" fillId="0" borderId="0" xfId="0" applyFont="1" applyFill="1" applyBorder="1" applyAlignment="1">
      <alignment horizontal="center" vertical="top"/>
    </xf>
    <xf numFmtId="0" fontId="95" fillId="5" borderId="36" xfId="0" applyFont="1" applyFill="1" applyBorder="1" applyAlignment="1">
      <alignment horizontal="left" vertical="center"/>
    </xf>
    <xf numFmtId="0" fontId="95" fillId="5" borderId="37" xfId="0" applyFont="1" applyFill="1" applyBorder="1" applyAlignment="1">
      <alignment horizontal="left" vertical="center"/>
    </xf>
    <xf numFmtId="0" fontId="95" fillId="5" borderId="37" xfId="0" applyFont="1" applyFill="1" applyBorder="1" applyAlignment="1">
      <alignment horizontal="center" vertical="center"/>
    </xf>
    <xf numFmtId="0" fontId="95" fillId="5" borderId="38" xfId="0" applyFont="1" applyFill="1" applyBorder="1" applyAlignment="1">
      <alignment horizontal="center" vertical="center"/>
    </xf>
    <xf numFmtId="0" fontId="105" fillId="0" borderId="0" xfId="0" applyFont="1" applyAlignment="1">
      <alignment horizontal="left"/>
    </xf>
    <xf numFmtId="0" fontId="95" fillId="5" borderId="0" xfId="0" applyFont="1" applyFill="1" applyBorder="1" applyAlignment="1">
      <alignment vertical="center"/>
    </xf>
    <xf numFmtId="0" fontId="12" fillId="0" borderId="17" xfId="0" applyFont="1" applyFill="1" applyBorder="1" applyAlignment="1">
      <alignment horizontal="center" vertical="top"/>
    </xf>
    <xf numFmtId="0" fontId="12" fillId="0" borderId="0" xfId="0" applyFont="1" applyFill="1" applyBorder="1" applyAlignment="1">
      <alignment horizontal="center" vertical="top"/>
    </xf>
    <xf numFmtId="0" fontId="13" fillId="0" borderId="4" xfId="0" applyFont="1" applyBorder="1" applyAlignment="1">
      <alignment wrapText="1"/>
    </xf>
    <xf numFmtId="0" fontId="13" fillId="0" borderId="0" xfId="0" applyFont="1" applyBorder="1" applyAlignment="1">
      <alignment wrapText="1"/>
    </xf>
    <xf numFmtId="0" fontId="11" fillId="0" borderId="6" xfId="0" applyFont="1" applyFill="1" applyBorder="1" applyAlignment="1">
      <alignment horizontal="center" vertical="top"/>
    </xf>
    <xf numFmtId="0" fontId="106" fillId="0" borderId="0" xfId="0" applyFont="1" applyAlignment="1">
      <alignment horizontal="left" vertical="top" wrapText="1"/>
    </xf>
    <xf numFmtId="0" fontId="11" fillId="0" borderId="17" xfId="0" applyFont="1" applyFill="1" applyBorder="1" applyAlignment="1">
      <alignment horizontal="center" vertical="top"/>
    </xf>
    <xf numFmtId="0" fontId="95" fillId="5" borderId="4" xfId="0" applyFont="1" applyFill="1" applyBorder="1" applyAlignment="1">
      <alignment vertical="center"/>
    </xf>
    <xf numFmtId="0" fontId="11" fillId="0" borderId="0" xfId="0" applyFont="1" applyFill="1" applyBorder="1" applyAlignment="1">
      <alignment horizontal="left" vertical="top"/>
    </xf>
    <xf numFmtId="9" fontId="11" fillId="4" borderId="0" xfId="1" applyFont="1" applyFill="1" applyAlignment="1">
      <alignment horizontal="center"/>
    </xf>
    <xf numFmtId="0" fontId="95" fillId="5" borderId="14" xfId="0" applyFont="1" applyFill="1" applyBorder="1" applyAlignment="1">
      <alignment vertical="center"/>
    </xf>
    <xf numFmtId="0" fontId="12" fillId="0" borderId="5" xfId="0" applyFont="1" applyFill="1" applyBorder="1" applyAlignment="1">
      <alignment horizontal="center" vertical="top"/>
    </xf>
    <xf numFmtId="0" fontId="11" fillId="0" borderId="5" xfId="0" applyFont="1" applyFill="1" applyBorder="1" applyAlignment="1">
      <alignment horizontal="center" vertical="top"/>
    </xf>
    <xf numFmtId="0" fontId="11" fillId="0" borderId="16" xfId="0" applyFont="1" applyFill="1" applyBorder="1" applyAlignment="1">
      <alignment horizontal="center" vertical="top"/>
    </xf>
    <xf numFmtId="0" fontId="95" fillId="5" borderId="39" xfId="0" applyFont="1" applyFill="1" applyBorder="1" applyAlignment="1">
      <alignment horizontal="left" vertical="center"/>
    </xf>
    <xf numFmtId="0" fontId="95" fillId="5" borderId="36" xfId="0" applyFont="1" applyFill="1" applyBorder="1" applyAlignment="1">
      <alignment horizontal="center" vertical="center"/>
    </xf>
    <xf numFmtId="0" fontId="11" fillId="0" borderId="4" xfId="0" applyFont="1" applyFill="1" applyBorder="1" applyAlignment="1">
      <alignment horizontal="center" vertical="top"/>
    </xf>
    <xf numFmtId="0" fontId="11" fillId="0" borderId="14" xfId="0" applyFont="1" applyFill="1" applyBorder="1" applyAlignment="1">
      <alignment horizontal="center" vertical="top"/>
    </xf>
    <xf numFmtId="9" fontId="11" fillId="0" borderId="0" xfId="1" applyFont="1" applyFill="1" applyBorder="1" applyAlignment="1">
      <alignment horizontal="center" vertical="top"/>
    </xf>
    <xf numFmtId="0" fontId="11" fillId="0" borderId="0" xfId="0" applyFont="1" applyAlignment="1">
      <alignment horizontal="center" vertical="center"/>
    </xf>
    <xf numFmtId="0" fontId="11" fillId="0" borderId="0" xfId="0" applyFont="1" applyAlignment="1">
      <alignment horizontal="left"/>
    </xf>
    <xf numFmtId="0" fontId="42" fillId="0" borderId="0" xfId="0" applyFont="1" applyAlignment="1">
      <alignment horizontal="left"/>
    </xf>
    <xf numFmtId="9" fontId="11" fillId="7" borderId="40" xfId="1" applyFont="1" applyFill="1" applyBorder="1" applyAlignment="1">
      <alignment horizontal="center" vertical="top"/>
    </xf>
    <xf numFmtId="0" fontId="80" fillId="0" borderId="0" xfId="0" applyFont="1" applyFill="1" applyAlignment="1">
      <alignment horizontal="center"/>
    </xf>
    <xf numFmtId="0" fontId="44" fillId="0" borderId="0" xfId="0" applyFont="1" applyFill="1" applyAlignment="1">
      <alignment horizontal="left"/>
    </xf>
    <xf numFmtId="0" fontId="44" fillId="0" borderId="0" xfId="0" applyFont="1" applyFill="1" applyAlignment="1">
      <alignment horizontal="center"/>
    </xf>
    <xf numFmtId="0" fontId="12" fillId="0" borderId="0" xfId="0" applyFont="1" applyFill="1" applyBorder="1" applyAlignment="1">
      <alignment horizontal="left" vertical="top"/>
    </xf>
    <xf numFmtId="0" fontId="95" fillId="5" borderId="38" xfId="0" applyFont="1" applyFill="1" applyBorder="1" applyAlignment="1">
      <alignment horizontal="left" vertical="center"/>
    </xf>
    <xf numFmtId="0" fontId="11" fillId="8" borderId="0" xfId="0" applyFont="1" applyFill="1" applyAlignment="1">
      <alignment horizontal="left"/>
    </xf>
    <xf numFmtId="0" fontId="13" fillId="8" borderId="0" xfId="0" applyFont="1" applyFill="1" applyAlignment="1">
      <alignment horizontal="left" wrapText="1"/>
    </xf>
    <xf numFmtId="0" fontId="13" fillId="8" borderId="0" xfId="0" applyFont="1" applyFill="1" applyAlignment="1">
      <alignment horizontal="left" vertical="top" wrapText="1"/>
    </xf>
    <xf numFmtId="0" fontId="58" fillId="0" borderId="0" xfId="0" applyFont="1" applyAlignment="1">
      <alignment horizontal="center" wrapText="1"/>
    </xf>
    <xf numFmtId="0" fontId="11" fillId="7" borderId="0" xfId="0" applyFont="1" applyFill="1" applyAlignment="1">
      <alignment horizontal="center"/>
    </xf>
    <xf numFmtId="0" fontId="16" fillId="2" borderId="0" xfId="0" applyFont="1" applyFill="1" applyAlignment="1" applyProtection="1">
      <alignment horizontal="left" vertical="center"/>
    </xf>
    <xf numFmtId="0" fontId="16" fillId="2" borderId="0" xfId="0" applyFont="1" applyFill="1" applyAlignment="1" applyProtection="1">
      <alignment horizontal="right" vertical="center"/>
    </xf>
    <xf numFmtId="0" fontId="16" fillId="2" borderId="0" xfId="0" applyFont="1" applyFill="1" applyAlignment="1" applyProtection="1">
      <alignment horizontal="center" vertical="center"/>
    </xf>
    <xf numFmtId="0" fontId="13" fillId="0" borderId="0" xfId="0" applyFont="1" applyAlignment="1" applyProtection="1">
      <alignment horizontal="left" vertical="top" wrapText="1"/>
    </xf>
    <xf numFmtId="0" fontId="58" fillId="0" borderId="0" xfId="0" applyFont="1" applyAlignment="1" applyProtection="1">
      <alignment vertical="top" wrapText="1"/>
    </xf>
    <xf numFmtId="0" fontId="13" fillId="0" borderId="0" xfId="0" applyFont="1" applyAlignment="1" applyProtection="1">
      <alignment vertical="top" wrapText="1"/>
    </xf>
    <xf numFmtId="0" fontId="7" fillId="2" borderId="0" xfId="0" applyFont="1" applyFill="1" applyBorder="1" applyAlignment="1" applyProtection="1">
      <alignment horizontal="left"/>
    </xf>
    <xf numFmtId="0" fontId="10" fillId="0" borderId="1" xfId="0" applyFont="1" applyBorder="1" applyAlignment="1" applyProtection="1">
      <alignment wrapText="1"/>
    </xf>
    <xf numFmtId="0" fontId="10" fillId="0" borderId="2" xfId="0" applyFont="1" applyBorder="1" applyAlignment="1" applyProtection="1">
      <alignment horizontal="right" wrapText="1"/>
    </xf>
    <xf numFmtId="0" fontId="10" fillId="0" borderId="2" xfId="0" applyFont="1" applyBorder="1" applyAlignment="1" applyProtection="1">
      <alignment wrapText="1"/>
    </xf>
    <xf numFmtId="0" fontId="4" fillId="0" borderId="2" xfId="0" applyFont="1" applyFill="1" applyBorder="1" applyAlignment="1" applyProtection="1">
      <alignment horizontal="left"/>
    </xf>
    <xf numFmtId="0" fontId="4" fillId="0" borderId="2" xfId="0" applyFont="1" applyFill="1" applyBorder="1" applyAlignment="1" applyProtection="1">
      <alignment horizontal="center"/>
    </xf>
    <xf numFmtId="0" fontId="8" fillId="0" borderId="3" xfId="0" applyFont="1" applyFill="1" applyBorder="1" applyAlignment="1" applyProtection="1">
      <alignment horizontal="left" wrapText="1"/>
    </xf>
    <xf numFmtId="0" fontId="10" fillId="0" borderId="0" xfId="0" applyFont="1" applyBorder="1" applyAlignment="1" applyProtection="1">
      <alignment wrapText="1"/>
    </xf>
    <xf numFmtId="0" fontId="10" fillId="0" borderId="4" xfId="0" applyFont="1" applyBorder="1" applyAlignment="1" applyProtection="1">
      <alignment wrapText="1"/>
    </xf>
    <xf numFmtId="0" fontId="50"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8" fillId="0" borderId="6" xfId="0" applyFont="1" applyFill="1" applyBorder="1" applyAlignment="1" applyProtection="1">
      <alignment horizontal="left" wrapText="1"/>
    </xf>
    <xf numFmtId="0" fontId="45" fillId="0" borderId="0" xfId="0" applyFont="1" applyFill="1" applyBorder="1" applyAlignment="1" applyProtection="1">
      <alignment horizontal="left"/>
    </xf>
    <xf numFmtId="0" fontId="38" fillId="0" borderId="0" xfId="0" applyFont="1" applyBorder="1" applyAlignment="1" applyProtection="1">
      <alignment vertical="center"/>
    </xf>
    <xf numFmtId="0" fontId="13" fillId="0" borderId="4" xfId="0" applyFont="1" applyBorder="1" applyAlignment="1" applyProtection="1">
      <alignment vertical="top" wrapText="1"/>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78"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78" fillId="0" borderId="0" xfId="0" applyFont="1" applyFill="1" applyBorder="1" applyAlignment="1" applyProtection="1">
      <alignment horizontal="left" vertical="center" wrapText="1"/>
    </xf>
    <xf numFmtId="0" fontId="9" fillId="2" borderId="0" xfId="0" applyFont="1" applyFill="1" applyAlignment="1" applyProtection="1">
      <alignment horizontal="left"/>
    </xf>
    <xf numFmtId="0" fontId="70" fillId="0" borderId="4" xfId="0" applyFont="1" applyBorder="1" applyAlignment="1" applyProtection="1">
      <alignment wrapText="1"/>
    </xf>
    <xf numFmtId="0" fontId="39" fillId="0" borderId="26" xfId="0" applyFont="1" applyFill="1" applyBorder="1" applyAlignment="1" applyProtection="1">
      <alignment horizontal="right"/>
    </xf>
    <xf numFmtId="0" fontId="47" fillId="0" borderId="26" xfId="0" applyFont="1" applyFill="1" applyBorder="1" applyAlignment="1" applyProtection="1">
      <alignment vertical="center"/>
    </xf>
    <xf numFmtId="0" fontId="48" fillId="0" borderId="26" xfId="0" applyFont="1" applyFill="1" applyBorder="1" applyAlignment="1" applyProtection="1"/>
    <xf numFmtId="0" fontId="48" fillId="0" borderId="26" xfId="0" applyFont="1" applyFill="1" applyBorder="1" applyAlignment="1" applyProtection="1">
      <alignment horizontal="center"/>
    </xf>
    <xf numFmtId="0" fontId="48" fillId="0" borderId="0" xfId="0" applyFont="1" applyFill="1" applyBorder="1" applyAlignment="1" applyProtection="1"/>
    <xf numFmtId="0" fontId="9" fillId="0" borderId="6" xfId="0" applyFont="1" applyFill="1" applyBorder="1" applyAlignment="1" applyProtection="1"/>
    <xf numFmtId="0" fontId="23" fillId="2" borderId="0" xfId="0" applyFont="1" applyFill="1" applyBorder="1" applyAlignment="1" applyProtection="1">
      <alignment horizontal="left" wrapText="1"/>
    </xf>
    <xf numFmtId="0" fontId="3" fillId="0" borderId="0" xfId="0" applyFont="1" applyAlignment="1" applyProtection="1">
      <alignment horizontal="left" wrapText="1"/>
    </xf>
    <xf numFmtId="0" fontId="101" fillId="0" borderId="0" xfId="0" applyFont="1" applyAlignment="1" applyProtection="1">
      <alignment wrapText="1"/>
    </xf>
    <xf numFmtId="0" fontId="3" fillId="0" borderId="0" xfId="0" applyFont="1" applyAlignment="1" applyProtection="1">
      <alignment wrapText="1"/>
    </xf>
    <xf numFmtId="0" fontId="9" fillId="2" borderId="0" xfId="0" applyFont="1" applyFill="1" applyAlignment="1" applyProtection="1">
      <alignment horizontal="left" vertical="center"/>
    </xf>
    <xf numFmtId="0" fontId="9" fillId="0" borderId="4" xfId="0" applyFont="1" applyFill="1" applyBorder="1" applyAlignment="1" applyProtection="1">
      <alignment horizontal="left" vertical="center"/>
    </xf>
    <xf numFmtId="0" fontId="73" fillId="0" borderId="6" xfId="0" applyFont="1" applyFill="1" applyBorder="1" applyAlignment="1" applyProtection="1">
      <alignment horizontal="left" vertical="top" wrapText="1"/>
    </xf>
    <xf numFmtId="0" fontId="23" fillId="2" borderId="0" xfId="0" applyFont="1" applyFill="1" applyBorder="1" applyAlignment="1" applyProtection="1">
      <alignment horizontal="left" vertical="center" wrapText="1"/>
    </xf>
    <xf numFmtId="0" fontId="3" fillId="0" borderId="0" xfId="0" applyFont="1" applyAlignment="1" applyProtection="1">
      <alignment horizontal="left" vertical="top" wrapText="1"/>
    </xf>
    <xf numFmtId="0" fontId="101" fillId="0" borderId="0" xfId="0" applyFont="1" applyAlignment="1" applyProtection="1">
      <alignment vertical="top" wrapText="1"/>
    </xf>
    <xf numFmtId="0" fontId="3" fillId="0" borderId="0" xfId="0" applyFont="1" applyAlignment="1" applyProtection="1">
      <alignment vertical="top" wrapText="1"/>
    </xf>
    <xf numFmtId="0" fontId="97" fillId="0" borderId="4" xfId="0" applyFont="1" applyBorder="1" applyAlignment="1" applyProtection="1">
      <alignment horizontal="left" vertical="top"/>
    </xf>
    <xf numFmtId="0" fontId="3" fillId="0" borderId="0" xfId="0" applyFont="1" applyFill="1" applyBorder="1" applyAlignment="1" applyProtection="1">
      <alignment horizontal="right" vertical="center" wrapText="1"/>
    </xf>
    <xf numFmtId="0" fontId="7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6" xfId="0" applyFont="1" applyFill="1" applyBorder="1" applyAlignment="1" applyProtection="1">
      <alignment horizontal="left" vertical="top" wrapText="1"/>
    </xf>
    <xf numFmtId="0" fontId="70" fillId="0" borderId="0" xfId="0" applyFont="1" applyFill="1" applyBorder="1" applyAlignment="1" applyProtection="1">
      <alignment horizontal="center" vertical="center" wrapText="1"/>
    </xf>
    <xf numFmtId="0" fontId="70" fillId="0" borderId="4" xfId="0" applyFont="1" applyFill="1" applyBorder="1" applyAlignment="1" applyProtection="1"/>
    <xf numFmtId="0" fontId="3" fillId="0" borderId="0" xfId="0" applyFont="1" applyFill="1" applyAlignment="1" applyProtection="1">
      <alignment horizontal="right" wrapText="1"/>
    </xf>
    <xf numFmtId="0" fontId="3" fillId="0" borderId="0" xfId="0" applyFont="1" applyFill="1" applyAlignment="1" applyProtection="1">
      <alignment wrapText="1"/>
    </xf>
    <xf numFmtId="0" fontId="48" fillId="0" borderId="0" xfId="0" applyFont="1" applyFill="1" applyBorder="1" applyAlignment="1" applyProtection="1">
      <alignment horizontal="right" vertical="center"/>
    </xf>
    <xf numFmtId="0" fontId="3" fillId="0" borderId="4" xfId="0" applyFont="1" applyBorder="1" applyAlignment="1" applyProtection="1">
      <alignment vertical="center"/>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wrapText="1"/>
    </xf>
    <xf numFmtId="0" fontId="48"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101" fillId="0" borderId="0" xfId="0" applyFont="1" applyAlignment="1" applyProtection="1">
      <alignment vertical="center" wrapText="1"/>
    </xf>
    <xf numFmtId="0" fontId="3" fillId="0" borderId="0" xfId="0" applyFont="1" applyAlignment="1" applyProtection="1">
      <alignment vertical="center" wrapText="1"/>
    </xf>
    <xf numFmtId="0" fontId="70" fillId="0" borderId="4" xfId="0" applyFont="1" applyBorder="1" applyAlignment="1" applyProtection="1">
      <alignment vertical="center" wrapText="1"/>
    </xf>
    <xf numFmtId="0" fontId="3" fillId="0" borderId="0" xfId="0" applyFont="1" applyFill="1" applyBorder="1" applyAlignment="1" applyProtection="1">
      <alignment horizontal="left" vertical="top" wrapText="1"/>
    </xf>
    <xf numFmtId="0" fontId="48"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97" fillId="0" borderId="4" xfId="0" applyFont="1" applyBorder="1" applyAlignment="1" applyProtection="1">
      <alignment horizontal="left" vertical="center"/>
    </xf>
    <xf numFmtId="0" fontId="3" fillId="0" borderId="0" xfId="0" applyFont="1" applyFill="1" applyBorder="1" applyAlignment="1" applyProtection="1">
      <alignment horizontal="right" wrapText="1"/>
    </xf>
    <xf numFmtId="0" fontId="48" fillId="0" borderId="0" xfId="0" applyFont="1" applyBorder="1" applyAlignment="1" applyProtection="1"/>
    <xf numFmtId="0" fontId="65" fillId="0" borderId="0" xfId="0" applyFont="1" applyAlignment="1" applyProtection="1">
      <alignment horizontal="center"/>
    </xf>
    <xf numFmtId="0" fontId="3" fillId="0" borderId="0" xfId="0" applyFont="1" applyAlignment="1" applyProtection="1">
      <alignment horizontal="center" wrapText="1"/>
    </xf>
    <xf numFmtId="0" fontId="78" fillId="0" borderId="0" xfId="0" applyFont="1" applyFill="1" applyBorder="1" applyAlignment="1" applyProtection="1">
      <alignment horizontal="right" wrapText="1"/>
    </xf>
    <xf numFmtId="0" fontId="22" fillId="0" borderId="0" xfId="0" applyFont="1" applyFill="1" applyBorder="1" applyAlignment="1" applyProtection="1">
      <alignment horizontal="left" wrapText="1"/>
    </xf>
    <xf numFmtId="0" fontId="73" fillId="0" borderId="6" xfId="0" applyFont="1" applyFill="1" applyBorder="1" applyAlignment="1" applyProtection="1">
      <alignment horizontal="left" wrapText="1"/>
    </xf>
    <xf numFmtId="0" fontId="3" fillId="0" borderId="0" xfId="0" applyFont="1" applyAlignment="1" applyProtection="1">
      <alignment horizontal="center" vertical="center" wrapText="1"/>
    </xf>
    <xf numFmtId="0" fontId="78" fillId="0" borderId="0" xfId="0" applyFont="1" applyFill="1" applyBorder="1" applyAlignment="1" applyProtection="1">
      <alignment horizontal="right" vertical="center" wrapText="1"/>
    </xf>
    <xf numFmtId="0" fontId="79" fillId="0" borderId="0" xfId="0" applyFont="1" applyFill="1" applyBorder="1" applyAlignment="1" applyProtection="1">
      <alignment horizontal="right" vertical="center" wrapText="1"/>
    </xf>
    <xf numFmtId="0" fontId="97" fillId="0" borderId="6" xfId="0" applyFont="1" applyFill="1" applyBorder="1" applyAlignment="1" applyProtection="1">
      <alignment horizontal="left" vertical="center"/>
    </xf>
    <xf numFmtId="0" fontId="97" fillId="0" borderId="6" xfId="0" applyFont="1" applyFill="1" applyBorder="1" applyAlignment="1" applyProtection="1">
      <alignment horizontal="right" vertical="center"/>
    </xf>
    <xf numFmtId="0" fontId="70" fillId="0" borderId="0" xfId="0" applyFont="1" applyFill="1" applyBorder="1" applyAlignment="1" applyProtection="1"/>
    <xf numFmtId="0" fontId="78" fillId="0" borderId="0" xfId="0" applyFont="1" applyFill="1" applyBorder="1" applyAlignment="1" applyProtection="1">
      <alignment horizontal="center" wrapText="1"/>
    </xf>
    <xf numFmtId="0" fontId="78" fillId="0" borderId="0" xfId="0" applyFont="1" applyAlignment="1" applyProtection="1">
      <alignment wrapText="1"/>
    </xf>
    <xf numFmtId="0" fontId="78" fillId="0" borderId="0" xfId="0" applyFont="1" applyFill="1" applyBorder="1" applyAlignment="1" applyProtection="1">
      <alignment horizontal="left" wrapText="1"/>
    </xf>
    <xf numFmtId="0" fontId="97" fillId="0" borderId="6" xfId="0" applyFont="1" applyFill="1" applyBorder="1" applyAlignment="1" applyProtection="1">
      <alignment horizontal="left" vertical="top"/>
    </xf>
    <xf numFmtId="0" fontId="70" fillId="0" borderId="0" xfId="0" applyFont="1" applyBorder="1" applyAlignment="1" applyProtection="1"/>
    <xf numFmtId="0" fontId="78" fillId="0" borderId="0" xfId="0" applyFont="1" applyFill="1" applyBorder="1" applyAlignment="1" applyProtection="1">
      <alignment horizontal="left"/>
    </xf>
    <xf numFmtId="0" fontId="3" fillId="0" borderId="6" xfId="0" applyFont="1" applyBorder="1" applyAlignment="1" applyProtection="1">
      <alignment horizontal="center" wrapText="1"/>
    </xf>
    <xf numFmtId="0" fontId="23" fillId="2" borderId="0" xfId="0" applyFont="1" applyFill="1" applyBorder="1" applyAlignment="1" applyProtection="1">
      <alignment horizontal="left" vertical="top" wrapText="1"/>
    </xf>
    <xf numFmtId="0" fontId="78" fillId="0" borderId="0" xfId="0" applyFont="1" applyFill="1" applyBorder="1" applyAlignment="1" applyProtection="1">
      <alignment horizontal="center" vertical="top" wrapText="1"/>
    </xf>
    <xf numFmtId="0" fontId="48" fillId="0" borderId="0" xfId="0" applyFont="1" applyBorder="1" applyAlignment="1" applyProtection="1">
      <alignment vertical="top"/>
    </xf>
    <xf numFmtId="0" fontId="78" fillId="0" borderId="0" xfId="0" applyFont="1" applyAlignment="1" applyProtection="1">
      <alignment vertical="top" wrapText="1"/>
    </xf>
    <xf numFmtId="0" fontId="3" fillId="0" borderId="6" xfId="0" applyFont="1" applyBorder="1" applyAlignment="1" applyProtection="1">
      <alignment horizontal="center" vertical="top" wrapText="1"/>
    </xf>
    <xf numFmtId="0" fontId="63" fillId="0" borderId="0" xfId="0" applyFont="1" applyAlignment="1" applyProtection="1">
      <alignment horizontal="right" vertical="center" wrapText="1"/>
    </xf>
    <xf numFmtId="0" fontId="89" fillId="0" borderId="0" xfId="0" applyFont="1" applyAlignment="1" applyProtection="1">
      <alignment horizontal="center" vertical="center" wrapText="1"/>
    </xf>
    <xf numFmtId="0" fontId="21" fillId="2" borderId="0" xfId="0" applyFont="1" applyFill="1" applyBorder="1" applyAlignment="1" applyProtection="1">
      <alignment horizontal="left" vertical="center" wrapText="1"/>
    </xf>
    <xf numFmtId="0" fontId="18" fillId="0" borderId="14" xfId="0" applyFont="1" applyBorder="1" applyAlignment="1" applyProtection="1">
      <alignment horizontal="center" vertical="center" wrapText="1"/>
    </xf>
    <xf numFmtId="0" fontId="20" fillId="0" borderId="5" xfId="0" applyFont="1" applyBorder="1" applyAlignment="1" applyProtection="1">
      <alignment horizontal="right" vertical="top" wrapText="1"/>
    </xf>
    <xf numFmtId="0" fontId="13" fillId="0" borderId="5" xfId="0" applyFont="1" applyBorder="1" applyAlignment="1" applyProtection="1">
      <alignment vertical="top" wrapText="1"/>
    </xf>
    <xf numFmtId="0" fontId="13" fillId="0" borderId="5" xfId="0" applyFont="1" applyBorder="1" applyAlignment="1" applyProtection="1">
      <alignment horizontal="center" vertical="top" wrapText="1"/>
    </xf>
    <xf numFmtId="0" fontId="13"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3" fillId="0" borderId="16" xfId="0" applyFont="1" applyBorder="1" applyAlignment="1" applyProtection="1">
      <alignment horizontal="center" vertical="top"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horizontal="right"/>
    </xf>
    <xf numFmtId="0" fontId="0" fillId="0" borderId="0" xfId="0" applyAlignment="1" applyProtection="1">
      <alignment horizontal="center"/>
    </xf>
    <xf numFmtId="0" fontId="98" fillId="0" borderId="0" xfId="0" applyFont="1" applyProtection="1"/>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7" fillId="2" borderId="0" xfId="0" applyFont="1" applyFill="1" applyAlignment="1" applyProtection="1">
      <alignment horizontal="left"/>
    </xf>
    <xf numFmtId="0" fontId="50" fillId="0" borderId="2" xfId="0" applyFont="1" applyFill="1" applyBorder="1" applyAlignment="1" applyProtection="1">
      <alignment horizontal="left"/>
    </xf>
    <xf numFmtId="0" fontId="24" fillId="0" borderId="2" xfId="0" applyFont="1" applyBorder="1" applyAlignment="1" applyProtection="1"/>
    <xf numFmtId="0" fontId="24" fillId="0" borderId="2" xfId="0" applyFont="1" applyBorder="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wrapText="1"/>
    </xf>
    <xf numFmtId="0" fontId="26" fillId="0" borderId="0" xfId="0" applyFont="1" applyFill="1" applyBorder="1" applyAlignment="1" applyProtection="1">
      <alignment horizontal="left"/>
    </xf>
    <xf numFmtId="0" fontId="27" fillId="0" borderId="0" xfId="0" applyFont="1" applyBorder="1" applyAlignment="1" applyProtection="1">
      <alignment vertical="top" wrapText="1"/>
    </xf>
    <xf numFmtId="0" fontId="13" fillId="0" borderId="0" xfId="0" applyFont="1" applyBorder="1" applyAlignment="1" applyProtection="1">
      <alignment vertical="top" wrapText="1"/>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0" xfId="0" applyFont="1" applyBorder="1" applyAlignment="1" applyProtection="1">
      <alignment vertical="top" wrapText="1"/>
    </xf>
    <xf numFmtId="0" fontId="39" fillId="0" borderId="0" xfId="0" applyFont="1" applyFill="1" applyBorder="1" applyAlignment="1" applyProtection="1">
      <alignment horizontal="center" vertical="top" wrapText="1"/>
    </xf>
    <xf numFmtId="0" fontId="72" fillId="0" borderId="0" xfId="0" applyFont="1" applyFill="1" applyBorder="1" applyAlignment="1" applyProtection="1">
      <alignment horizontal="center" vertical="top" wrapText="1"/>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48" fillId="0" borderId="0" xfId="0" applyFont="1" applyFill="1" applyBorder="1" applyAlignment="1" applyProtection="1">
      <alignment horizontal="center"/>
    </xf>
    <xf numFmtId="0" fontId="9" fillId="0" borderId="4" xfId="0" applyFont="1" applyFill="1" applyBorder="1" applyAlignment="1" applyProtection="1"/>
    <xf numFmtId="0" fontId="47" fillId="0" borderId="26" xfId="0" applyFont="1" applyFill="1" applyBorder="1" applyAlignment="1" applyProtection="1"/>
    <xf numFmtId="0" fontId="22" fillId="0" borderId="26" xfId="0" applyFont="1" applyBorder="1" applyAlignment="1" applyProtection="1">
      <alignment wrapText="1"/>
    </xf>
    <xf numFmtId="0" fontId="22" fillId="0" borderId="26" xfId="0" applyFont="1" applyBorder="1" applyAlignment="1" applyProtection="1">
      <alignment horizontal="left" wrapText="1"/>
    </xf>
    <xf numFmtId="0" fontId="3" fillId="0" borderId="6" xfId="0" applyFont="1" applyBorder="1" applyAlignment="1" applyProtection="1">
      <alignment wrapText="1"/>
    </xf>
    <xf numFmtId="0" fontId="9" fillId="2" borderId="0" xfId="0" applyFont="1" applyFill="1" applyBorder="1" applyAlignment="1" applyProtection="1">
      <alignment horizontal="left"/>
    </xf>
    <xf numFmtId="0" fontId="71" fillId="2" borderId="0" xfId="0" applyFont="1" applyFill="1" applyAlignment="1" applyProtection="1">
      <alignment horizontal="left" vertical="center"/>
    </xf>
    <xf numFmtId="0" fontId="71" fillId="0" borderId="4" xfId="0" applyFont="1" applyFill="1" applyBorder="1" applyAlignment="1" applyProtection="1">
      <alignment horizontal="left" vertical="center"/>
    </xf>
    <xf numFmtId="0" fontId="77" fillId="0" borderId="6" xfId="0" applyFont="1" applyFill="1" applyBorder="1" applyAlignment="1" applyProtection="1">
      <alignment horizontal="left" vertical="top" wrapText="1"/>
    </xf>
    <xf numFmtId="0" fontId="59" fillId="0" borderId="0" xfId="0" applyFont="1" applyAlignment="1" applyProtection="1">
      <alignment vertical="top" wrapText="1"/>
    </xf>
    <xf numFmtId="0" fontId="40" fillId="0" borderId="4" xfId="0" applyFont="1" applyFill="1" applyBorder="1" applyAlignment="1" applyProtection="1"/>
    <xf numFmtId="0" fontId="50" fillId="0" borderId="5" xfId="0" applyFont="1" applyFill="1" applyBorder="1" applyAlignment="1" applyProtection="1">
      <alignment vertical="center"/>
    </xf>
    <xf numFmtId="0" fontId="50" fillId="0" borderId="5" xfId="0" applyFont="1" applyFill="1" applyBorder="1" applyAlignment="1" applyProtection="1">
      <alignment horizontal="left" vertical="center" wrapText="1"/>
    </xf>
    <xf numFmtId="0" fontId="50"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left" wrapText="1"/>
    </xf>
    <xf numFmtId="0" fontId="71" fillId="2" borderId="0" xfId="0" applyFont="1" applyFill="1" applyAlignment="1" applyProtection="1">
      <alignment horizontal="left"/>
    </xf>
    <xf numFmtId="0" fontId="40" fillId="0" borderId="0" xfId="0" applyFont="1" applyAlignment="1" applyProtection="1">
      <alignment wrapText="1"/>
    </xf>
    <xf numFmtId="0" fontId="59" fillId="0" borderId="11" xfId="0"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wrapText="1"/>
    </xf>
    <xf numFmtId="0" fontId="59" fillId="0" borderId="0" xfId="0" applyFont="1" applyAlignment="1" applyProtection="1">
      <alignment horizontal="left" vertical="center" wrapText="1"/>
    </xf>
    <xf numFmtId="0" fontId="59" fillId="0" borderId="11" xfId="0" applyFont="1" applyBorder="1" applyAlignment="1" applyProtection="1">
      <alignment horizontal="center" vertical="center" wrapText="1"/>
    </xf>
    <xf numFmtId="0" fontId="74" fillId="0" borderId="6" xfId="0" applyFont="1" applyBorder="1" applyAlignment="1" applyProtection="1">
      <alignment horizontal="left" vertical="center" wrapText="1"/>
    </xf>
    <xf numFmtId="0" fontId="15" fillId="0" borderId="26" xfId="0" applyFont="1" applyFill="1" applyBorder="1" applyAlignment="1" applyProtection="1"/>
    <xf numFmtId="0" fontId="15" fillId="0" borderId="26" xfId="0" applyFont="1" applyFill="1" applyBorder="1" applyAlignment="1" applyProtection="1">
      <alignment horizontal="left"/>
    </xf>
    <xf numFmtId="0" fontId="52" fillId="0" borderId="11" xfId="0" applyFont="1" applyBorder="1" applyAlignment="1" applyProtection="1">
      <alignment horizontal="center" vertical="center" wrapText="1"/>
    </xf>
    <xf numFmtId="0" fontId="59" fillId="0" borderId="6" xfId="0" applyFont="1" applyBorder="1" applyAlignment="1" applyProtection="1">
      <alignment horizontal="center" vertical="center" wrapText="1"/>
    </xf>
    <xf numFmtId="0" fontId="59" fillId="0" borderId="0" xfId="0" applyFont="1" applyAlignment="1" applyProtection="1">
      <alignment vertical="center" wrapText="1"/>
    </xf>
    <xf numFmtId="0" fontId="40" fillId="0" borderId="4"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3" fillId="0" borderId="5" xfId="0" applyFont="1" applyBorder="1" applyAlignment="1" applyProtection="1">
      <alignment horizontal="left" vertical="top" wrapText="1"/>
    </xf>
    <xf numFmtId="0" fontId="20" fillId="0" borderId="0" xfId="0" applyFont="1" applyAlignment="1" applyProtection="1">
      <alignment horizontal="right" vertical="top" wrapText="1"/>
    </xf>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left" vertical="top" wrapText="1"/>
    </xf>
    <xf numFmtId="0" fontId="13" fillId="0" borderId="0" xfId="0" applyFont="1" applyAlignment="1" applyProtection="1">
      <alignment horizontal="center" vertical="top" wrapText="1"/>
    </xf>
    <xf numFmtId="0" fontId="76" fillId="2" borderId="0" xfId="0" applyFont="1" applyFill="1" applyBorder="1" applyAlignment="1" applyProtection="1">
      <alignment horizontal="left" wrapText="1"/>
    </xf>
    <xf numFmtId="0" fontId="75" fillId="2" borderId="0" xfId="0" applyFont="1" applyFill="1" applyBorder="1" applyAlignment="1" applyProtection="1">
      <alignment horizontal="left" vertical="center" wrapText="1"/>
    </xf>
    <xf numFmtId="0" fontId="75" fillId="0" borderId="4" xfId="0" applyFont="1" applyFill="1" applyBorder="1" applyAlignment="1" applyProtection="1">
      <alignment horizontal="left" vertical="center" wrapText="1"/>
    </xf>
    <xf numFmtId="0" fontId="65" fillId="0" borderId="32" xfId="0" applyFont="1" applyFill="1" applyBorder="1" applyAlignment="1" applyProtection="1">
      <alignment horizontal="left" vertical="center" wrapText="1"/>
      <protection locked="0"/>
    </xf>
    <xf numFmtId="0" fontId="3" fillId="0" borderId="4" xfId="0" applyFont="1" applyBorder="1" applyAlignment="1" applyProtection="1">
      <alignment vertical="top" wrapText="1"/>
    </xf>
    <xf numFmtId="0" fontId="48" fillId="2" borderId="0" xfId="0" applyFont="1" applyFill="1" applyBorder="1" applyAlignment="1" applyProtection="1">
      <alignment horizontal="left"/>
    </xf>
    <xf numFmtId="0" fontId="3" fillId="0" borderId="0" xfId="0" applyFont="1" applyBorder="1" applyAlignment="1" applyProtection="1">
      <alignment vertical="top" wrapText="1"/>
    </xf>
    <xf numFmtId="0" fontId="59" fillId="0" borderId="0" xfId="0" applyFont="1" applyAlignment="1" applyProtection="1">
      <alignment wrapText="1"/>
    </xf>
    <xf numFmtId="0" fontId="16" fillId="0" borderId="4" xfId="0" applyFont="1" applyFill="1" applyBorder="1" applyAlignment="1" applyProtection="1">
      <alignment horizontal="left" vertical="center"/>
    </xf>
    <xf numFmtId="0" fontId="21" fillId="0" borderId="4" xfId="0" applyFont="1" applyFill="1" applyBorder="1" applyAlignment="1" applyProtection="1">
      <alignment horizontal="left" vertical="center" wrapText="1"/>
    </xf>
    <xf numFmtId="0" fontId="8" fillId="0" borderId="4" xfId="0" applyFont="1" applyFill="1" applyBorder="1" applyAlignment="1" applyProtection="1"/>
    <xf numFmtId="0" fontId="9" fillId="2" borderId="0" xfId="0" applyFont="1" applyFill="1" applyBorder="1" applyAlignment="1" applyProtection="1">
      <alignment horizontal="left" vertical="center"/>
    </xf>
    <xf numFmtId="0" fontId="83" fillId="2" borderId="0" xfId="0" applyFont="1" applyFill="1" applyAlignment="1" applyProtection="1">
      <alignment horizontal="left" vertical="center"/>
    </xf>
    <xf numFmtId="0" fontId="84" fillId="0" borderId="4" xfId="0" applyFont="1" applyBorder="1" applyAlignment="1" applyProtection="1">
      <alignment vertical="top" wrapText="1"/>
    </xf>
    <xf numFmtId="0" fontId="84" fillId="0" borderId="0" xfId="0" applyFont="1" applyAlignment="1" applyProtection="1">
      <alignment vertical="top" wrapText="1"/>
    </xf>
    <xf numFmtId="0" fontId="84" fillId="0" borderId="0" xfId="0" applyFont="1" applyBorder="1" applyAlignment="1" applyProtection="1">
      <alignment vertical="top" wrapText="1"/>
    </xf>
    <xf numFmtId="0" fontId="26" fillId="0" borderId="0" xfId="0" applyFont="1" applyFill="1" applyBorder="1" applyAlignment="1" applyProtection="1">
      <alignment horizontal="center" vertical="center"/>
    </xf>
    <xf numFmtId="0" fontId="22" fillId="0" borderId="0" xfId="0" applyFont="1" applyBorder="1" applyAlignment="1" applyProtection="1">
      <alignment vertical="top" wrapText="1"/>
    </xf>
    <xf numFmtId="0" fontId="15" fillId="0" borderId="0" xfId="0" applyFont="1" applyFill="1" applyBorder="1" applyAlignment="1" applyProtection="1">
      <alignment horizontal="left" vertical="center"/>
    </xf>
    <xf numFmtId="0" fontId="3" fillId="0" borderId="0" xfId="0" applyFont="1" applyBorder="1" applyAlignment="1" applyProtection="1">
      <alignment horizontal="center" vertical="center" wrapText="1"/>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0"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0" fillId="0" borderId="14" xfId="0" applyFont="1" applyBorder="1" applyAlignment="1" applyProtection="1">
      <alignment horizontal="center" vertical="center" wrapText="1"/>
    </xf>
    <xf numFmtId="0" fontId="70" fillId="0" borderId="5" xfId="0" applyFont="1" applyBorder="1" applyAlignment="1" applyProtection="1">
      <alignment horizontal="center" vertical="center" wrapText="1"/>
    </xf>
    <xf numFmtId="0" fontId="73" fillId="0" borderId="5" xfId="0" applyFont="1" applyBorder="1" applyAlignment="1" applyProtection="1">
      <alignment horizontal="right" vertical="top" wrapText="1"/>
    </xf>
    <xf numFmtId="0" fontId="3" fillId="0" borderId="5" xfId="0" applyFont="1" applyBorder="1" applyAlignment="1" applyProtection="1">
      <alignment vertical="top" wrapText="1"/>
    </xf>
    <xf numFmtId="0" fontId="3" fillId="0" borderId="5" xfId="0" applyFont="1" applyBorder="1" applyAlignment="1" applyProtection="1">
      <alignment horizontal="center" vertical="center" wrapText="1"/>
    </xf>
    <xf numFmtId="0" fontId="81" fillId="0" borderId="5" xfId="0" applyFont="1" applyBorder="1" applyAlignment="1" applyProtection="1">
      <alignment horizontal="center" vertical="center" wrapText="1"/>
    </xf>
    <xf numFmtId="0" fontId="3" fillId="0" borderId="5" xfId="0" applyFont="1" applyBorder="1" applyAlignment="1" applyProtection="1">
      <alignment horizontal="left" vertical="top" wrapText="1"/>
    </xf>
    <xf numFmtId="0" fontId="23" fillId="2" borderId="0" xfId="0" applyFont="1" applyFill="1" applyBorder="1" applyAlignment="1" applyProtection="1">
      <alignment horizontal="center" vertical="center" wrapText="1"/>
    </xf>
    <xf numFmtId="0" fontId="73" fillId="0" borderId="0" xfId="0" applyFont="1" applyAlignment="1" applyProtection="1">
      <alignment horizontal="right" vertical="top" wrapText="1"/>
    </xf>
    <xf numFmtId="0" fontId="3" fillId="0" borderId="0" xfId="0" applyFont="1" applyBorder="1" applyAlignment="1" applyProtection="1">
      <alignment horizontal="left" vertical="top" wrapText="1"/>
    </xf>
    <xf numFmtId="0" fontId="3" fillId="0" borderId="0" xfId="0" applyFont="1" applyAlignment="1" applyProtection="1">
      <alignment horizontal="center" vertical="top" wrapText="1"/>
    </xf>
    <xf numFmtId="0" fontId="78" fillId="0" borderId="0" xfId="0" applyFont="1" applyAlignment="1" applyProtection="1">
      <alignment horizontal="left" vertical="top" wrapText="1"/>
    </xf>
    <xf numFmtId="0" fontId="48" fillId="0" borderId="0" xfId="0" applyFont="1" applyFill="1" applyBorder="1" applyAlignment="1" applyProtection="1">
      <alignment horizontal="left"/>
    </xf>
    <xf numFmtId="0" fontId="78" fillId="2" borderId="0" xfId="0" applyFont="1" applyFill="1" applyBorder="1" applyAlignment="1" applyProtection="1">
      <alignment horizontal="left" vertical="center" wrapText="1"/>
    </xf>
    <xf numFmtId="0" fontId="84" fillId="0" borderId="0" xfId="0" applyFont="1" applyFill="1" applyBorder="1" applyAlignment="1" applyProtection="1">
      <alignment vertical="top" wrapText="1"/>
    </xf>
    <xf numFmtId="0" fontId="48" fillId="0" borderId="33" xfId="0" applyFont="1" applyFill="1" applyBorder="1" applyAlignment="1" applyProtection="1"/>
    <xf numFmtId="0" fontId="15" fillId="0" borderId="33" xfId="0" applyFont="1" applyFill="1" applyBorder="1" applyAlignment="1" applyProtection="1"/>
    <xf numFmtId="0" fontId="23" fillId="2" borderId="0" xfId="0" applyFont="1" applyFill="1" applyBorder="1" applyAlignment="1" applyProtection="1">
      <alignment vertical="center" wrapText="1"/>
    </xf>
    <xf numFmtId="0" fontId="93" fillId="0" borderId="2" xfId="0" applyFont="1" applyFill="1" applyBorder="1" applyAlignment="1" applyProtection="1">
      <alignment horizontal="left"/>
    </xf>
    <xf numFmtId="0" fontId="27" fillId="0" borderId="0"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25" fillId="0" borderId="27" xfId="0" applyFont="1" applyFill="1" applyBorder="1" applyAlignment="1" applyProtection="1"/>
    <xf numFmtId="0" fontId="15" fillId="0" borderId="27" xfId="0" applyFont="1" applyFill="1" applyBorder="1" applyAlignment="1" applyProtection="1">
      <alignment horizontal="left"/>
    </xf>
    <xf numFmtId="0" fontId="22" fillId="0" borderId="27" xfId="0" applyFont="1" applyFill="1" applyBorder="1" applyAlignment="1" applyProtection="1">
      <alignment horizontal="left"/>
    </xf>
    <xf numFmtId="0" fontId="22" fillId="0" borderId="27" xfId="0" applyFont="1" applyBorder="1" applyAlignment="1" applyProtection="1">
      <alignment horizontal="left" wrapText="1"/>
    </xf>
    <xf numFmtId="0" fontId="65" fillId="0" borderId="5" xfId="0" applyFont="1" applyFill="1" applyBorder="1" applyAlignment="1" applyProtection="1">
      <alignment horizontal="center" vertical="center" wrapText="1"/>
    </xf>
    <xf numFmtId="0" fontId="94" fillId="0" borderId="5" xfId="0" applyFont="1" applyFill="1" applyBorder="1" applyAlignment="1" applyProtection="1">
      <alignment horizontal="center" vertical="center" wrapText="1"/>
    </xf>
    <xf numFmtId="0" fontId="39" fillId="0" borderId="4" xfId="0" applyFont="1" applyFill="1" applyBorder="1" applyAlignment="1" applyProtection="1"/>
    <xf numFmtId="0" fontId="50" fillId="0" borderId="22" xfId="0" applyFont="1" applyBorder="1" applyAlignment="1" applyProtection="1">
      <alignment horizontal="center" vertical="center" wrapText="1"/>
    </xf>
    <xf numFmtId="0" fontId="50" fillId="0" borderId="25" xfId="0" applyFont="1" applyBorder="1" applyAlignment="1" applyProtection="1">
      <alignment horizontal="center" vertical="center" wrapText="1"/>
    </xf>
    <xf numFmtId="0" fontId="41" fillId="0" borderId="0" xfId="0" applyFont="1" applyFill="1" applyBorder="1" applyAlignment="1" applyProtection="1"/>
    <xf numFmtId="0" fontId="25" fillId="0" borderId="0" xfId="0" applyFont="1" applyFill="1" applyBorder="1" applyAlignment="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left" wrapText="1"/>
    </xf>
    <xf numFmtId="0" fontId="13" fillId="0" borderId="5"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3" fillId="0" borderId="0" xfId="0" applyFont="1" applyAlignment="1" applyProtection="1">
      <alignment horizontal="left" vertical="center" wrapText="1"/>
    </xf>
    <xf numFmtId="0" fontId="24" fillId="0" borderId="3" xfId="0" applyFont="1" applyBorder="1" applyAlignment="1" applyProtection="1"/>
    <xf numFmtId="0" fontId="45" fillId="0" borderId="0" xfId="0" applyFont="1" applyFill="1" applyBorder="1" applyAlignment="1" applyProtection="1">
      <alignment horizontal="left" vertical="top"/>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3" fillId="0" borderId="6" xfId="0" applyFont="1" applyBorder="1" applyAlignment="1" applyProtection="1">
      <alignment vertical="center" wrapText="1"/>
    </xf>
    <xf numFmtId="0" fontId="13" fillId="0" borderId="0" xfId="0" applyFont="1" applyAlignment="1" applyProtection="1">
      <alignment vertical="center" wrapText="1"/>
    </xf>
    <xf numFmtId="0" fontId="9" fillId="0" borderId="0" xfId="0" applyFont="1" applyFill="1" applyBorder="1" applyAlignment="1" applyProtection="1"/>
    <xf numFmtId="0" fontId="39" fillId="0" borderId="0" xfId="0" applyFont="1" applyFill="1" applyBorder="1" applyAlignment="1" applyProtection="1"/>
    <xf numFmtId="0" fontId="14" fillId="5" borderId="34" xfId="0" applyFont="1" applyFill="1" applyBorder="1" applyAlignment="1" applyProtection="1">
      <alignment horizontal="left" vertical="top" wrapText="1"/>
    </xf>
    <xf numFmtId="49" fontId="51" fillId="0" borderId="0" xfId="0" applyNumberFormat="1" applyFont="1" applyFill="1" applyBorder="1" applyAlignment="1" applyProtection="1">
      <alignment horizontal="left" vertical="top" wrapText="1"/>
    </xf>
    <xf numFmtId="0" fontId="13" fillId="0" borderId="42" xfId="0" applyFont="1" applyFill="1" applyBorder="1" applyAlignment="1" applyProtection="1">
      <alignment horizontal="center" vertical="top" wrapText="1"/>
      <protection locked="0"/>
    </xf>
    <xf numFmtId="0" fontId="13" fillId="4" borderId="41" xfId="0" applyFont="1" applyFill="1" applyBorder="1" applyAlignment="1" applyProtection="1">
      <alignment horizontal="center" vertical="top" wrapText="1"/>
      <protection locked="0"/>
    </xf>
    <xf numFmtId="0" fontId="13" fillId="4" borderId="42" xfId="0" applyFont="1" applyFill="1" applyBorder="1" applyAlignment="1" applyProtection="1">
      <alignment horizontal="center" vertical="top" wrapText="1"/>
      <protection locked="0"/>
    </xf>
    <xf numFmtId="0" fontId="13" fillId="4" borderId="43" xfId="0" applyFont="1" applyFill="1" applyBorder="1" applyAlignment="1" applyProtection="1">
      <alignment horizontal="center" vertical="top" wrapText="1"/>
      <protection locked="0"/>
    </xf>
    <xf numFmtId="0" fontId="40" fillId="0" borderId="4"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59" fillId="0" borderId="13" xfId="0" applyFont="1" applyFill="1" applyBorder="1" applyAlignment="1" applyProtection="1">
      <alignment horizontal="center" vertical="center" wrapText="1"/>
    </xf>
    <xf numFmtId="0" fontId="59" fillId="0" borderId="20" xfId="0" applyFont="1" applyFill="1" applyBorder="1" applyAlignment="1" applyProtection="1">
      <alignment horizontal="center" vertical="center" wrapText="1"/>
    </xf>
    <xf numFmtId="0" fontId="59" fillId="0" borderId="45" xfId="0" applyFont="1" applyFill="1" applyBorder="1" applyAlignment="1" applyProtection="1">
      <alignment horizontal="center" vertical="center" wrapText="1"/>
    </xf>
    <xf numFmtId="0" fontId="59" fillId="0" borderId="46" xfId="0" applyFont="1" applyBorder="1" applyAlignment="1" applyProtection="1">
      <alignment horizontal="center" vertical="center" wrapText="1"/>
    </xf>
    <xf numFmtId="0" fontId="59" fillId="0" borderId="45" xfId="0" applyFont="1" applyBorder="1" applyAlignment="1" applyProtection="1">
      <alignment horizontal="center" vertical="center" wrapText="1"/>
    </xf>
    <xf numFmtId="0" fontId="59" fillId="0" borderId="18" xfId="0" applyFont="1" applyFill="1" applyBorder="1" applyAlignment="1" applyProtection="1">
      <alignment horizontal="center" vertical="center" wrapText="1"/>
    </xf>
    <xf numFmtId="0" fontId="59" fillId="0" borderId="15" xfId="0" applyFont="1" applyFill="1" applyBorder="1" applyAlignment="1" applyProtection="1">
      <alignment horizontal="center" vertical="center" wrapText="1"/>
    </xf>
    <xf numFmtId="0" fontId="59" fillId="0" borderId="47" xfId="0" applyFont="1" applyBorder="1" applyAlignment="1" applyProtection="1">
      <alignment horizontal="center" vertical="center" wrapText="1"/>
    </xf>
    <xf numFmtId="0" fontId="59" fillId="0" borderId="48" xfId="0" applyFont="1" applyFill="1" applyBorder="1" applyAlignment="1" applyProtection="1">
      <alignment horizontal="center" vertical="center" wrapText="1"/>
    </xf>
    <xf numFmtId="0" fontId="59" fillId="0" borderId="10" xfId="0" applyFont="1" applyFill="1" applyBorder="1" applyAlignment="1" applyProtection="1">
      <alignment horizontal="center" vertical="center" wrapText="1"/>
    </xf>
    <xf numFmtId="0" fontId="52" fillId="0" borderId="45" xfId="0" applyFont="1" applyBorder="1" applyAlignment="1" applyProtection="1">
      <alignment horizontal="center" vertical="center" wrapText="1"/>
    </xf>
    <xf numFmtId="0" fontId="52" fillId="0" borderId="47" xfId="0" applyFont="1" applyBorder="1" applyAlignment="1" applyProtection="1">
      <alignment horizontal="center" vertical="center" wrapText="1"/>
    </xf>
    <xf numFmtId="0" fontId="52" fillId="0" borderId="1" xfId="0" applyFont="1" applyBorder="1" applyAlignment="1" applyProtection="1">
      <alignment horizontal="center" vertical="center" wrapText="1"/>
    </xf>
    <xf numFmtId="0" fontId="59" fillId="0" borderId="2" xfId="0" applyFont="1" applyFill="1" applyBorder="1" applyAlignment="1" applyProtection="1">
      <alignment horizontal="center" vertical="center" wrapText="1"/>
    </xf>
    <xf numFmtId="0" fontId="52" fillId="0" borderId="18" xfId="0" applyFont="1" applyBorder="1" applyAlignment="1" applyProtection="1">
      <alignment horizontal="center" vertical="center" wrapText="1"/>
    </xf>
    <xf numFmtId="0" fontId="65" fillId="0" borderId="19" xfId="0" applyFont="1" applyBorder="1" applyAlignment="1" applyProtection="1">
      <alignment horizontal="left" vertical="center" wrapText="1"/>
      <protection locked="0"/>
    </xf>
    <xf numFmtId="0" fontId="50" fillId="0" borderId="18" xfId="0" applyFont="1" applyFill="1" applyBorder="1" applyAlignment="1" applyProtection="1">
      <alignment vertical="center"/>
    </xf>
    <xf numFmtId="0" fontId="50" fillId="0" borderId="15" xfId="0" applyFont="1" applyFill="1" applyBorder="1" applyAlignment="1" applyProtection="1">
      <alignment horizontal="left" vertical="center" wrapText="1"/>
    </xf>
    <xf numFmtId="0" fontId="50" fillId="0" borderId="15" xfId="0" applyFont="1" applyFill="1" applyBorder="1" applyAlignment="1" applyProtection="1">
      <alignment horizontal="left" vertical="center"/>
    </xf>
    <xf numFmtId="0" fontId="50" fillId="0" borderId="15" xfId="0" applyFont="1" applyFill="1" applyBorder="1" applyAlignment="1" applyProtection="1">
      <alignment horizontal="center" vertical="center" wrapText="1"/>
    </xf>
    <xf numFmtId="0" fontId="50" fillId="0" borderId="19" xfId="0" applyFont="1" applyFill="1" applyBorder="1" applyAlignment="1" applyProtection="1">
      <alignment horizontal="left" vertical="center"/>
    </xf>
    <xf numFmtId="0" fontId="11" fillId="9" borderId="0" xfId="0" applyFont="1" applyFill="1" applyAlignment="1">
      <alignment horizontal="left"/>
    </xf>
    <xf numFmtId="0" fontId="59" fillId="0" borderId="47" xfId="0" applyFont="1" applyFill="1" applyBorder="1" applyAlignment="1" applyProtection="1">
      <alignment horizontal="center" vertical="center" wrapText="1"/>
    </xf>
    <xf numFmtId="0" fontId="46" fillId="0" borderId="18" xfId="0" applyFont="1" applyFill="1" applyBorder="1" applyAlignment="1" applyProtection="1">
      <alignment vertical="center"/>
    </xf>
    <xf numFmtId="0" fontId="46" fillId="0" borderId="15" xfId="0" applyFont="1" applyFill="1" applyBorder="1" applyAlignment="1" applyProtection="1">
      <alignment horizontal="left" vertical="center" wrapText="1"/>
    </xf>
    <xf numFmtId="0" fontId="46" fillId="0" borderId="15" xfId="0" applyFont="1" applyFill="1" applyBorder="1" applyAlignment="1" applyProtection="1">
      <alignment horizontal="left" vertical="center"/>
    </xf>
    <xf numFmtId="0" fontId="46" fillId="0" borderId="15" xfId="0" applyFont="1" applyFill="1" applyBorder="1" applyAlignment="1" applyProtection="1">
      <alignment horizontal="center" vertical="center" wrapText="1"/>
    </xf>
    <xf numFmtId="0" fontId="46" fillId="0" borderId="19" xfId="0" applyFont="1" applyFill="1" applyBorder="1" applyAlignment="1" applyProtection="1">
      <alignment horizontal="left" vertical="center"/>
    </xf>
    <xf numFmtId="0" fontId="70" fillId="0" borderId="17" xfId="0" applyFont="1" applyBorder="1" applyAlignment="1" applyProtection="1">
      <alignment horizontal="center" vertical="center" wrapText="1"/>
    </xf>
    <xf numFmtId="0" fontId="59" fillId="0" borderId="18" xfId="0" applyFont="1" applyBorder="1" applyAlignment="1" applyProtection="1">
      <alignment horizontal="center" vertical="center" wrapText="1"/>
    </xf>
    <xf numFmtId="0" fontId="6" fillId="0" borderId="4" xfId="0" applyFont="1" applyFill="1" applyBorder="1" applyAlignment="1" applyProtection="1">
      <alignment vertical="center" wrapText="1"/>
    </xf>
    <xf numFmtId="0" fontId="59" fillId="0" borderId="12" xfId="0" applyFont="1" applyBorder="1" applyAlignment="1" applyProtection="1">
      <alignment horizontal="left" vertical="center" wrapText="1"/>
    </xf>
    <xf numFmtId="0" fontId="59" fillId="0" borderId="12" xfId="0" applyFont="1" applyFill="1" applyBorder="1" applyAlignment="1" applyProtection="1">
      <alignment horizontal="left" vertical="center" wrapText="1"/>
    </xf>
    <xf numFmtId="0" fontId="59" fillId="0" borderId="20" xfId="0" applyFont="1" applyFill="1" applyBorder="1" applyAlignment="1" applyProtection="1">
      <alignment horizontal="left" vertical="center" wrapText="1"/>
    </xf>
    <xf numFmtId="0" fontId="59" fillId="0" borderId="20" xfId="0" applyFont="1" applyBorder="1" applyAlignment="1" applyProtection="1">
      <alignment horizontal="left" vertical="center" wrapText="1"/>
    </xf>
    <xf numFmtId="0" fontId="59" fillId="0" borderId="48" xfId="0" applyFont="1" applyBorder="1" applyAlignment="1" applyProtection="1">
      <alignment horizontal="left" vertical="center" wrapText="1"/>
    </xf>
    <xf numFmtId="0" fontId="59" fillId="0" borderId="48" xfId="0" applyFont="1" applyFill="1" applyBorder="1" applyAlignment="1" applyProtection="1">
      <alignment horizontal="left" vertical="center" wrapText="1"/>
    </xf>
    <xf numFmtId="0" fontId="59" fillId="0" borderId="15" xfId="0" applyFont="1" applyFill="1" applyBorder="1" applyAlignment="1" applyProtection="1">
      <alignment horizontal="left" vertical="center" wrapText="1"/>
    </xf>
    <xf numFmtId="0" fontId="69" fillId="12" borderId="17" xfId="0" applyFont="1" applyFill="1" applyBorder="1" applyAlignment="1" applyProtection="1">
      <alignment horizontal="center" vertical="center" wrapText="1"/>
    </xf>
    <xf numFmtId="0" fontId="24" fillId="0" borderId="0" xfId="0" applyFont="1" applyBorder="1" applyAlignment="1" applyProtection="1"/>
    <xf numFmtId="0" fontId="24" fillId="0" borderId="0" xfId="0" applyFont="1" applyBorder="1" applyAlignment="1" applyProtection="1">
      <alignment horizontal="left"/>
    </xf>
    <xf numFmtId="0" fontId="77" fillId="0" borderId="0" xfId="0" applyFont="1" applyFill="1" applyBorder="1" applyAlignment="1" applyProtection="1">
      <alignment horizontal="left" vertical="top" wrapText="1"/>
    </xf>
    <xf numFmtId="0" fontId="28" fillId="2" borderId="0" xfId="0" applyFont="1" applyFill="1" applyBorder="1" applyAlignment="1">
      <alignment horizontal="left" vertical="center"/>
    </xf>
    <xf numFmtId="0" fontId="108" fillId="0" borderId="0" xfId="0" applyFont="1" applyFill="1" applyAlignment="1">
      <alignment horizontal="left" vertical="top"/>
    </xf>
    <xf numFmtId="0" fontId="22" fillId="0" borderId="0" xfId="0" applyFont="1" applyFill="1" applyBorder="1" applyAlignment="1" applyProtection="1">
      <alignment horizontal="left" vertical="center"/>
    </xf>
    <xf numFmtId="0" fontId="24" fillId="0" borderId="2" xfId="0" applyFont="1" applyBorder="1" applyAlignment="1" applyProtection="1">
      <alignment horizontal="center"/>
    </xf>
    <xf numFmtId="0" fontId="59"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79" fillId="0" borderId="0" xfId="0" applyFont="1" applyAlignment="1" applyProtection="1">
      <alignment horizontal="center" vertical="center" wrapText="1"/>
    </xf>
    <xf numFmtId="0" fontId="78" fillId="0" borderId="0" xfId="0" applyFont="1" applyFill="1" applyBorder="1" applyAlignment="1" applyProtection="1">
      <alignment horizontal="left" vertical="center" wrapText="1"/>
    </xf>
    <xf numFmtId="0" fontId="56" fillId="0" borderId="0" xfId="3" applyFill="1" applyBorder="1" applyAlignment="1" applyProtection="1">
      <alignment horizontal="left" vertical="center"/>
    </xf>
    <xf numFmtId="0" fontId="22" fillId="0" borderId="0" xfId="0" applyFont="1" applyFill="1" applyBorder="1" applyAlignment="1" applyProtection="1">
      <alignment horizontal="left" vertical="center" wrapText="1"/>
    </xf>
    <xf numFmtId="0" fontId="78" fillId="0" borderId="0" xfId="0" applyFont="1" applyFill="1" applyBorder="1" applyAlignment="1" applyProtection="1">
      <alignment horizontal="left" vertical="top" wrapText="1"/>
    </xf>
    <xf numFmtId="0" fontId="10" fillId="0" borderId="2" xfId="0" applyFont="1" applyBorder="1" applyAlignment="1" applyProtection="1">
      <alignment horizontal="center" wrapText="1"/>
    </xf>
    <xf numFmtId="0" fontId="4" fillId="0" borderId="0" xfId="0" applyFont="1" applyFill="1" applyBorder="1" applyAlignment="1" applyProtection="1">
      <alignment horizontal="left"/>
      <protection locked="0"/>
    </xf>
    <xf numFmtId="0" fontId="65" fillId="0" borderId="21" xfId="0" applyFont="1" applyFill="1" applyBorder="1" applyAlignment="1" applyProtection="1">
      <alignment horizontal="left" vertical="center" wrapText="1"/>
      <protection locked="0"/>
    </xf>
    <xf numFmtId="0" fontId="65" fillId="0" borderId="56" xfId="0" applyFont="1" applyFill="1" applyBorder="1" applyAlignment="1" applyProtection="1">
      <alignment horizontal="left" vertical="center" wrapText="1"/>
      <protection locked="0"/>
    </xf>
    <xf numFmtId="0" fontId="65" fillId="0" borderId="25" xfId="0" applyFont="1" applyBorder="1" applyAlignment="1" applyProtection="1">
      <alignment horizontal="left" vertical="center" wrapText="1"/>
      <protection locked="0"/>
    </xf>
    <xf numFmtId="0" fontId="65" fillId="0" borderId="21" xfId="0" applyFont="1" applyBorder="1" applyAlignment="1" applyProtection="1">
      <alignment horizontal="left" vertical="center" wrapText="1"/>
      <protection locked="0"/>
    </xf>
    <xf numFmtId="0" fontId="65" fillId="0" borderId="56" xfId="0" applyFont="1" applyBorder="1" applyAlignment="1" applyProtection="1">
      <alignment horizontal="left" vertical="center" wrapText="1"/>
      <protection locked="0"/>
    </xf>
    <xf numFmtId="0" fontId="65" fillId="0" borderId="57" xfId="0" applyFont="1" applyFill="1" applyBorder="1" applyAlignment="1" applyProtection="1">
      <alignment horizontal="left" vertical="center" wrapText="1"/>
      <protection locked="0"/>
    </xf>
    <xf numFmtId="0" fontId="65" fillId="0" borderId="25" xfId="0" applyFont="1" applyFill="1" applyBorder="1" applyAlignment="1" applyProtection="1">
      <alignment horizontal="left" vertical="center" wrapText="1"/>
      <protection locked="0"/>
    </xf>
    <xf numFmtId="0" fontId="65" fillId="0" borderId="58" xfId="0" applyFont="1" applyFill="1" applyBorder="1" applyAlignment="1" applyProtection="1">
      <alignment horizontal="left" vertical="center" wrapText="1"/>
      <protection locked="0"/>
    </xf>
    <xf numFmtId="0" fontId="65" fillId="0" borderId="59" xfId="0" applyFont="1" applyFill="1" applyBorder="1" applyAlignment="1" applyProtection="1">
      <alignment horizontal="left" vertical="center" wrapText="1"/>
      <protection locked="0"/>
    </xf>
    <xf numFmtId="0" fontId="65" fillId="0" borderId="60" xfId="0" applyFont="1" applyFill="1" applyBorder="1" applyAlignment="1" applyProtection="1">
      <alignment horizontal="left" vertical="center" wrapText="1"/>
      <protection locked="0"/>
    </xf>
    <xf numFmtId="0" fontId="65" fillId="0" borderId="61" xfId="0" applyFont="1" applyFill="1" applyBorder="1" applyAlignment="1" applyProtection="1">
      <alignment horizontal="left" vertical="center" wrapText="1"/>
      <protection locked="0"/>
    </xf>
    <xf numFmtId="0" fontId="65" fillId="0" borderId="58" xfId="0" applyFont="1" applyBorder="1" applyAlignment="1" applyProtection="1">
      <alignment horizontal="left" vertical="center" wrapText="1"/>
      <protection locked="0"/>
    </xf>
    <xf numFmtId="0" fontId="65" fillId="0" borderId="59" xfId="0" applyFont="1" applyBorder="1" applyAlignment="1" applyProtection="1">
      <alignment horizontal="left" vertical="center" wrapText="1"/>
      <protection locked="0"/>
    </xf>
    <xf numFmtId="0" fontId="65" fillId="0" borderId="61" xfId="0" applyFont="1" applyBorder="1" applyAlignment="1" applyProtection="1">
      <alignment horizontal="left" vertical="center" wrapText="1"/>
      <protection locked="0"/>
    </xf>
    <xf numFmtId="0" fontId="65" fillId="0" borderId="63" xfId="0" applyFont="1" applyBorder="1" applyAlignment="1" applyProtection="1">
      <alignment horizontal="left" vertical="center" wrapText="1"/>
      <protection locked="0"/>
    </xf>
    <xf numFmtId="0" fontId="65" fillId="0" borderId="64" xfId="0" applyFont="1" applyBorder="1" applyAlignment="1" applyProtection="1">
      <alignment horizontal="left" vertical="center" wrapText="1"/>
      <protection locked="0"/>
    </xf>
    <xf numFmtId="0" fontId="65" fillId="0" borderId="62" xfId="0" applyFont="1" applyFill="1" applyBorder="1" applyAlignment="1" applyProtection="1">
      <alignment horizontal="left" vertical="center" wrapText="1"/>
      <protection locked="0"/>
    </xf>
    <xf numFmtId="0" fontId="40" fillId="0" borderId="17" xfId="0" applyFont="1" applyBorder="1" applyAlignment="1" applyProtection="1">
      <alignment horizontal="center" vertical="center" wrapText="1"/>
    </xf>
    <xf numFmtId="0" fontId="59" fillId="0" borderId="0" xfId="0" applyFont="1" applyFill="1" applyBorder="1" applyAlignment="1" applyProtection="1">
      <alignment horizontal="left" vertical="top" wrapText="1"/>
    </xf>
    <xf numFmtId="0" fontId="48" fillId="0" borderId="0" xfId="0" applyFont="1" applyFill="1" applyBorder="1" applyAlignment="1" applyProtection="1">
      <alignment horizontal="right" vertical="center" wrapText="1"/>
    </xf>
    <xf numFmtId="0" fontId="48" fillId="0" borderId="0" xfId="0" applyFont="1" applyFill="1" applyBorder="1" applyAlignment="1" applyProtection="1">
      <alignment horizontal="right" vertical="top" wrapText="1"/>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50" fillId="0" borderId="5" xfId="0" applyFont="1" applyFill="1" applyBorder="1" applyAlignment="1" applyProtection="1">
      <alignment horizontal="center" vertical="center"/>
    </xf>
    <xf numFmtId="0" fontId="47" fillId="0" borderId="1" xfId="0" applyFont="1" applyBorder="1" applyAlignment="1" applyProtection="1">
      <alignment vertical="top"/>
    </xf>
    <xf numFmtId="0" fontId="51" fillId="0" borderId="0" xfId="0" applyFont="1" applyFill="1" applyBorder="1" applyAlignment="1" applyProtection="1">
      <alignment horizontal="center"/>
    </xf>
    <xf numFmtId="0" fontId="59" fillId="0" borderId="15" xfId="0" applyFont="1" applyBorder="1" applyAlignment="1" applyProtection="1">
      <alignment vertical="center" wrapText="1"/>
    </xf>
    <xf numFmtId="0" fontId="59" fillId="0" borderId="20" xfId="0" applyFont="1" applyBorder="1" applyAlignment="1" applyProtection="1">
      <alignment vertical="center" wrapText="1"/>
    </xf>
    <xf numFmtId="0" fontId="59" fillId="0" borderId="12" xfId="0" applyFont="1" applyBorder="1" applyAlignment="1" applyProtection="1">
      <alignment vertical="center" wrapText="1"/>
    </xf>
    <xf numFmtId="0" fontId="59" fillId="0" borderId="12" xfId="0" applyFont="1" applyFill="1" applyBorder="1" applyAlignment="1" applyProtection="1">
      <alignment vertical="center" wrapText="1"/>
    </xf>
    <xf numFmtId="0" fontId="59" fillId="0" borderId="13" xfId="0" applyFont="1" applyFill="1" applyBorder="1" applyAlignment="1" applyProtection="1">
      <alignment vertical="center" wrapText="1"/>
    </xf>
    <xf numFmtId="0" fontId="59" fillId="0" borderId="20" xfId="0" applyFont="1" applyFill="1" applyBorder="1" applyAlignment="1" applyProtection="1">
      <alignment vertical="center" wrapText="1"/>
    </xf>
    <xf numFmtId="0" fontId="59" fillId="0" borderId="48" xfId="0" applyFont="1" applyFill="1" applyBorder="1" applyAlignment="1" applyProtection="1">
      <alignment vertical="center" wrapText="1"/>
    </xf>
    <xf numFmtId="0" fontId="59" fillId="0" borderId="2" xfId="0" applyFont="1" applyBorder="1" applyAlignment="1" applyProtection="1">
      <alignment vertical="center" wrapText="1"/>
    </xf>
    <xf numFmtId="0" fontId="59" fillId="0" borderId="48" xfId="0" applyFont="1" applyBorder="1" applyAlignment="1" applyProtection="1">
      <alignment vertical="center" wrapText="1"/>
    </xf>
    <xf numFmtId="0" fontId="59" fillId="0" borderId="10" xfId="0" applyFont="1" applyBorder="1" applyAlignment="1" applyProtection="1">
      <alignment vertical="center" wrapText="1"/>
    </xf>
    <xf numFmtId="0" fontId="23" fillId="2" borderId="2" xfId="0" applyFont="1" applyFill="1" applyBorder="1" applyAlignment="1" applyProtection="1">
      <alignment horizontal="left" vertical="center" wrapText="1"/>
    </xf>
    <xf numFmtId="0" fontId="50" fillId="0" borderId="63" xfId="0" applyFont="1" applyFill="1" applyBorder="1" applyAlignment="1" applyProtection="1">
      <alignment horizontal="left" vertical="center"/>
    </xf>
    <xf numFmtId="0" fontId="50" fillId="0" borderId="64" xfId="0" applyFont="1" applyFill="1" applyBorder="1" applyAlignment="1" applyProtection="1">
      <alignment horizontal="left" vertical="center"/>
    </xf>
    <xf numFmtId="0" fontId="50" fillId="0" borderId="70" xfId="0" applyFont="1" applyFill="1" applyBorder="1" applyAlignment="1" applyProtection="1">
      <alignment horizontal="left" vertical="center"/>
    </xf>
    <xf numFmtId="0" fontId="65" fillId="0" borderId="71" xfId="0" applyFont="1" applyFill="1" applyBorder="1" applyAlignment="1" applyProtection="1">
      <alignment horizontal="left" vertical="center" wrapText="1"/>
      <protection locked="0"/>
    </xf>
    <xf numFmtId="0" fontId="65" fillId="0" borderId="72" xfId="0" applyFont="1" applyBorder="1" applyAlignment="1" applyProtection="1">
      <alignment horizontal="left" vertical="center" wrapText="1"/>
      <protection locked="0"/>
    </xf>
    <xf numFmtId="0" fontId="65" fillId="0" borderId="73" xfId="0" applyFont="1" applyFill="1" applyBorder="1" applyAlignment="1" applyProtection="1">
      <alignment horizontal="left" vertical="center" wrapText="1"/>
      <protection locked="0"/>
    </xf>
    <xf numFmtId="0" fontId="65" fillId="0" borderId="74" xfId="0" applyFont="1" applyBorder="1" applyAlignment="1" applyProtection="1">
      <alignment horizontal="left" vertical="center" wrapText="1"/>
      <protection locked="0"/>
    </xf>
    <xf numFmtId="0" fontId="65" fillId="0" borderId="75" xfId="0" applyFont="1" applyFill="1" applyBorder="1" applyAlignment="1" applyProtection="1">
      <alignment horizontal="left" vertical="center" wrapText="1"/>
      <protection locked="0"/>
    </xf>
    <xf numFmtId="0" fontId="65" fillId="0" borderId="76" xfId="0" applyFont="1" applyBorder="1" applyAlignment="1" applyProtection="1">
      <alignment horizontal="left" vertical="center" wrapText="1"/>
      <protection locked="0"/>
    </xf>
    <xf numFmtId="0" fontId="65" fillId="0" borderId="63" xfId="0" applyFont="1" applyFill="1" applyBorder="1" applyAlignment="1" applyProtection="1">
      <alignment horizontal="left" vertical="center" wrapText="1"/>
      <protection locked="0"/>
    </xf>
    <xf numFmtId="0" fontId="65" fillId="0" borderId="64" xfId="0" applyFont="1" applyFill="1" applyBorder="1" applyAlignment="1" applyProtection="1">
      <alignment horizontal="left" vertical="center" wrapText="1"/>
      <protection locked="0"/>
    </xf>
    <xf numFmtId="0" fontId="65" fillId="0" borderId="23" xfId="0" applyFont="1" applyFill="1" applyBorder="1" applyAlignment="1" applyProtection="1">
      <alignment horizontal="left" vertical="center" wrapText="1"/>
      <protection locked="0"/>
    </xf>
    <xf numFmtId="0" fontId="65" fillId="0" borderId="77" xfId="0" applyFont="1" applyFill="1" applyBorder="1" applyAlignment="1" applyProtection="1">
      <alignment horizontal="left" vertical="center" wrapText="1"/>
      <protection locked="0"/>
    </xf>
    <xf numFmtId="0" fontId="65" fillId="0" borderId="78" xfId="0" applyFont="1" applyFill="1" applyBorder="1" applyAlignment="1" applyProtection="1">
      <alignment horizontal="left" vertical="center" wrapText="1"/>
      <protection locked="0"/>
    </xf>
    <xf numFmtId="0" fontId="65" fillId="0" borderId="79" xfId="0" applyFont="1" applyFill="1" applyBorder="1" applyAlignment="1" applyProtection="1">
      <alignment horizontal="left" vertical="center" wrapText="1"/>
      <protection locked="0"/>
    </xf>
    <xf numFmtId="0" fontId="65" fillId="0" borderId="81" xfId="0" applyFont="1" applyFill="1" applyBorder="1" applyAlignment="1" applyProtection="1">
      <alignment horizontal="left" vertical="center" wrapText="1"/>
      <protection locked="0"/>
    </xf>
    <xf numFmtId="0" fontId="65" fillId="0" borderId="24" xfId="0" applyFont="1" applyBorder="1" applyAlignment="1" applyProtection="1">
      <alignment horizontal="left" vertical="center" wrapText="1"/>
      <protection locked="0"/>
    </xf>
    <xf numFmtId="0" fontId="65" fillId="0" borderId="82" xfId="0" applyFont="1" applyBorder="1" applyAlignment="1" applyProtection="1">
      <alignment horizontal="left" vertical="center" wrapText="1"/>
      <protection locked="0"/>
    </xf>
    <xf numFmtId="0" fontId="50" fillId="0" borderId="83" xfId="0" applyFont="1" applyFill="1" applyBorder="1" applyAlignment="1" applyProtection="1">
      <alignment horizontal="left" vertical="center" wrapText="1"/>
    </xf>
    <xf numFmtId="0" fontId="59" fillId="0" borderId="15" xfId="0" applyFont="1" applyFill="1" applyBorder="1" applyAlignment="1" applyProtection="1">
      <alignment vertical="center" wrapText="1"/>
    </xf>
    <xf numFmtId="0" fontId="3" fillId="0" borderId="16" xfId="0" applyFont="1" applyBorder="1" applyAlignment="1" applyProtection="1">
      <alignment horizontal="left" vertical="top" wrapText="1"/>
    </xf>
    <xf numFmtId="0" fontId="65" fillId="0" borderId="25" xfId="0" applyFont="1" applyFill="1" applyBorder="1" applyAlignment="1" applyProtection="1">
      <alignment horizontal="left" vertical="top" wrapText="1"/>
      <protection locked="0"/>
    </xf>
    <xf numFmtId="0" fontId="4" fillId="0" borderId="5" xfId="0" applyFont="1" applyFill="1" applyBorder="1" applyAlignment="1" applyProtection="1">
      <protection locked="0"/>
    </xf>
    <xf numFmtId="0" fontId="21" fillId="2" borderId="2" xfId="0" applyFont="1" applyFill="1" applyBorder="1" applyAlignment="1" applyProtection="1">
      <alignment horizontal="left" vertical="center" wrapText="1"/>
    </xf>
    <xf numFmtId="0" fontId="65" fillId="0" borderId="90" xfId="0" applyFont="1" applyFill="1" applyBorder="1" applyAlignment="1" applyProtection="1">
      <alignment horizontal="left" vertical="center" wrapText="1"/>
      <protection locked="0"/>
    </xf>
    <xf numFmtId="0" fontId="65" fillId="0" borderId="15" xfId="0" applyFont="1" applyBorder="1" applyAlignment="1" applyProtection="1">
      <alignment horizontal="left" vertical="center" wrapText="1"/>
      <protection locked="0"/>
    </xf>
    <xf numFmtId="0" fontId="65" fillId="0" borderId="63" xfId="0" applyFont="1" applyFill="1" applyBorder="1" applyAlignment="1" applyProtection="1">
      <alignment vertical="center" wrapText="1"/>
      <protection locked="0"/>
    </xf>
    <xf numFmtId="0" fontId="65" fillId="0" borderId="64" xfId="0" applyFont="1" applyFill="1" applyBorder="1" applyAlignment="1" applyProtection="1">
      <alignment vertical="center" wrapText="1"/>
      <protection locked="0"/>
    </xf>
    <xf numFmtId="0" fontId="65" fillId="0" borderId="25" xfId="0" applyFont="1" applyFill="1" applyBorder="1" applyAlignment="1" applyProtection="1">
      <alignment vertical="center" wrapText="1"/>
      <protection locked="0"/>
    </xf>
    <xf numFmtId="0" fontId="65" fillId="0" borderId="58" xfId="0" applyFont="1" applyFill="1" applyBorder="1" applyAlignment="1" applyProtection="1">
      <alignment vertical="center" wrapText="1"/>
      <protection locked="0"/>
    </xf>
    <xf numFmtId="0" fontId="65" fillId="0" borderId="21" xfId="0" applyFont="1" applyFill="1" applyBorder="1" applyAlignment="1" applyProtection="1">
      <alignment vertical="center" wrapText="1"/>
      <protection locked="0"/>
    </xf>
    <xf numFmtId="0" fontId="65" fillId="0" borderId="59" xfId="0" applyFont="1" applyFill="1" applyBorder="1" applyAlignment="1" applyProtection="1">
      <alignment vertical="center" wrapText="1"/>
      <protection locked="0"/>
    </xf>
    <xf numFmtId="0" fontId="65" fillId="0" borderId="21" xfId="0" applyFont="1" applyBorder="1" applyAlignment="1" applyProtection="1">
      <alignment vertical="center" wrapText="1"/>
      <protection locked="0"/>
    </xf>
    <xf numFmtId="0" fontId="65" fillId="0" borderId="59" xfId="0" applyFont="1" applyBorder="1" applyAlignment="1" applyProtection="1">
      <alignment vertical="center" wrapText="1"/>
      <protection locked="0"/>
    </xf>
    <xf numFmtId="0" fontId="65" fillId="0" borderId="56" xfId="0" applyFont="1" applyBorder="1" applyAlignment="1" applyProtection="1">
      <alignment vertical="center" wrapText="1"/>
      <protection locked="0"/>
    </xf>
    <xf numFmtId="0" fontId="65" fillId="0" borderId="61" xfId="0" applyFont="1" applyBorder="1" applyAlignment="1" applyProtection="1">
      <alignment vertical="center" wrapText="1"/>
      <protection locked="0"/>
    </xf>
    <xf numFmtId="0" fontId="65" fillId="0" borderId="63" xfId="0" applyFont="1" applyBorder="1" applyAlignment="1" applyProtection="1">
      <alignment vertical="center" wrapText="1"/>
      <protection locked="0"/>
    </xf>
    <xf numFmtId="0" fontId="65" fillId="0" borderId="64" xfId="0" applyFont="1" applyBorder="1" applyAlignment="1" applyProtection="1">
      <alignment vertical="center" wrapText="1"/>
      <protection locked="0"/>
    </xf>
    <xf numFmtId="0" fontId="65" fillId="0" borderId="25" xfId="0" applyFont="1" applyBorder="1" applyAlignment="1" applyProtection="1">
      <alignment vertical="center" wrapText="1"/>
      <protection locked="0"/>
    </xf>
    <xf numFmtId="0" fontId="65" fillId="0" borderId="58" xfId="0" applyFont="1" applyBorder="1" applyAlignment="1" applyProtection="1">
      <alignment vertical="center" wrapText="1"/>
      <protection locked="0"/>
    </xf>
    <xf numFmtId="0" fontId="50" fillId="0" borderId="18" xfId="0" applyFont="1" applyFill="1" applyBorder="1" applyAlignment="1" applyProtection="1">
      <alignment horizontal="left" vertical="center" wrapText="1"/>
    </xf>
    <xf numFmtId="0" fontId="46" fillId="0" borderId="18" xfId="0" applyFont="1" applyFill="1" applyBorder="1" applyAlignment="1" applyProtection="1">
      <alignment horizontal="left" vertical="center" wrapText="1"/>
    </xf>
    <xf numFmtId="0" fontId="82" fillId="2" borderId="2" xfId="0" applyFont="1" applyFill="1" applyBorder="1" applyAlignment="1" applyProtection="1">
      <alignment horizontal="left" wrapText="1"/>
    </xf>
    <xf numFmtId="0" fontId="16" fillId="2" borderId="8" xfId="0" applyFont="1" applyFill="1" applyBorder="1" applyAlignment="1" applyProtection="1">
      <alignment horizontal="left" vertical="center"/>
    </xf>
    <xf numFmtId="0" fontId="6" fillId="10" borderId="17" xfId="0" applyFont="1" applyFill="1" applyBorder="1" applyAlignment="1" applyProtection="1">
      <alignment horizontal="center" vertical="center" wrapText="1"/>
    </xf>
    <xf numFmtId="0" fontId="40" fillId="10" borderId="7" xfId="0" applyFont="1" applyFill="1" applyBorder="1" applyAlignment="1" applyProtection="1">
      <alignment horizontal="center" vertical="center" wrapText="1"/>
    </xf>
    <xf numFmtId="0" fontId="40" fillId="10" borderId="17" xfId="0" applyFont="1" applyFill="1" applyBorder="1" applyAlignment="1" applyProtection="1">
      <alignment horizontal="center" vertical="center" wrapText="1"/>
    </xf>
    <xf numFmtId="0" fontId="40" fillId="0" borderId="17" xfId="0" applyFont="1" applyFill="1" applyBorder="1" applyAlignment="1" applyProtection="1">
      <alignment horizontal="center" vertical="center" wrapText="1"/>
    </xf>
    <xf numFmtId="0" fontId="40" fillId="11" borderId="17" xfId="0" applyFont="1" applyFill="1" applyBorder="1" applyAlignment="1" applyProtection="1">
      <alignment horizontal="center" vertical="center" wrapText="1"/>
    </xf>
    <xf numFmtId="0" fontId="40" fillId="12" borderId="17" xfId="0" applyFont="1" applyFill="1" applyBorder="1" applyAlignment="1" applyProtection="1">
      <alignment horizontal="center" vertical="center" wrapText="1"/>
    </xf>
    <xf numFmtId="0" fontId="6" fillId="12" borderId="17" xfId="0" applyFont="1" applyFill="1" applyBorder="1" applyAlignment="1" applyProtection="1">
      <alignment horizontal="center" vertical="center" wrapText="1"/>
    </xf>
    <xf numFmtId="0" fontId="58" fillId="0" borderId="0" xfId="0" applyFont="1" applyFill="1" applyBorder="1" applyAlignment="1" applyProtection="1">
      <alignment vertical="top"/>
    </xf>
    <xf numFmtId="0" fontId="88" fillId="0" borderId="0" xfId="0" applyFont="1" applyFill="1" applyBorder="1" applyAlignment="1" applyProtection="1">
      <alignment vertical="center" wrapText="1"/>
    </xf>
    <xf numFmtId="0" fontId="107" fillId="0" borderId="0" xfId="0" applyFont="1" applyFill="1" applyBorder="1" applyAlignment="1" applyProtection="1">
      <alignment horizontal="left" vertical="top"/>
    </xf>
    <xf numFmtId="0" fontId="88" fillId="0" borderId="0" xfId="0" applyFont="1" applyFill="1" applyBorder="1" applyAlignment="1" applyProtection="1">
      <alignment vertical="center"/>
    </xf>
    <xf numFmtId="0" fontId="50" fillId="0" borderId="93" xfId="0" applyFont="1" applyBorder="1" applyAlignment="1" applyProtection="1">
      <alignment horizontal="center" vertical="center" wrapText="1"/>
    </xf>
    <xf numFmtId="0" fontId="59" fillId="0" borderId="25" xfId="0" applyFont="1" applyBorder="1" applyAlignment="1" applyProtection="1">
      <alignment horizontal="center" vertical="center" wrapText="1"/>
      <protection locked="0"/>
    </xf>
    <xf numFmtId="0" fontId="59" fillId="0" borderId="58" xfId="0" applyFont="1" applyBorder="1" applyAlignment="1" applyProtection="1">
      <alignment horizontal="center" vertical="center" wrapText="1"/>
      <protection locked="0"/>
    </xf>
    <xf numFmtId="0" fontId="59" fillId="0" borderId="22" xfId="0" applyFont="1" applyBorder="1" applyAlignment="1" applyProtection="1">
      <alignment horizontal="center" vertical="center" wrapText="1"/>
      <protection locked="0"/>
    </xf>
    <xf numFmtId="0" fontId="59" fillId="0" borderId="80" xfId="0" applyFont="1" applyBorder="1" applyAlignment="1" applyProtection="1">
      <alignment horizontal="center" vertical="center" wrapText="1"/>
      <protection locked="0"/>
    </xf>
    <xf numFmtId="0" fontId="59" fillId="0" borderId="21" xfId="0" applyFont="1" applyBorder="1" applyAlignment="1" applyProtection="1">
      <alignment horizontal="center" vertical="center" wrapText="1"/>
      <protection locked="0"/>
    </xf>
    <xf numFmtId="0" fontId="59" fillId="0" borderId="59" xfId="0" applyFont="1" applyBorder="1" applyAlignment="1" applyProtection="1">
      <alignment horizontal="center" vertical="center" wrapText="1"/>
      <protection locked="0"/>
    </xf>
    <xf numFmtId="0" fontId="59" fillId="0" borderId="56" xfId="0" applyFont="1" applyBorder="1" applyAlignment="1" applyProtection="1">
      <alignment horizontal="center" vertical="center" wrapText="1"/>
      <protection locked="0"/>
    </xf>
    <xf numFmtId="0" fontId="59" fillId="0" borderId="61" xfId="0" applyFont="1" applyBorder="1" applyAlignment="1" applyProtection="1">
      <alignment horizontal="center" vertical="center" wrapText="1"/>
      <protection locked="0"/>
    </xf>
    <xf numFmtId="0" fontId="109" fillId="0" borderId="0" xfId="0" applyFont="1" applyFill="1" applyBorder="1" applyAlignment="1" applyProtection="1"/>
    <xf numFmtId="49" fontId="55" fillId="0" borderId="0" xfId="0" applyNumberFormat="1" applyFont="1" applyFill="1" applyBorder="1" applyAlignment="1" applyProtection="1"/>
    <xf numFmtId="0" fontId="101" fillId="0" borderId="0" xfId="0" applyFont="1" applyBorder="1" applyAlignment="1" applyProtection="1">
      <alignment vertical="center" wrapText="1"/>
    </xf>
    <xf numFmtId="0" fontId="3" fillId="2" borderId="5" xfId="0" applyFont="1" applyFill="1" applyBorder="1" applyAlignment="1" applyProtection="1">
      <alignment horizontal="left" wrapText="1"/>
    </xf>
    <xf numFmtId="0" fontId="101" fillId="2" borderId="5" xfId="0" applyFont="1" applyFill="1" applyBorder="1" applyAlignment="1" applyProtection="1">
      <alignment wrapText="1"/>
    </xf>
    <xf numFmtId="0" fontId="49" fillId="0" borderId="0" xfId="0" applyFont="1" applyFill="1" applyBorder="1" applyAlignment="1" applyProtection="1">
      <alignment vertical="top"/>
    </xf>
    <xf numFmtId="0" fontId="14" fillId="5" borderId="0" xfId="0" applyFont="1" applyFill="1" applyBorder="1" applyAlignment="1" applyProtection="1">
      <alignment horizontal="left" vertical="top" wrapText="1"/>
    </xf>
    <xf numFmtId="0" fontId="14" fillId="5" borderId="34" xfId="0" applyFont="1" applyFill="1" applyBorder="1" applyAlignment="1" applyProtection="1">
      <alignment horizontal="left" vertical="top"/>
    </xf>
    <xf numFmtId="0" fontId="11" fillId="0" borderId="0" xfId="0" applyFont="1" applyFill="1" applyBorder="1" applyAlignment="1">
      <alignment horizontal="left" vertical="top" wrapText="1"/>
    </xf>
    <xf numFmtId="0" fontId="0" fillId="0" borderId="0" xfId="0" applyAlignment="1">
      <alignment wrapText="1"/>
    </xf>
    <xf numFmtId="0" fontId="112" fillId="13" borderId="7" xfId="0" applyFont="1" applyFill="1" applyBorder="1" applyAlignment="1">
      <alignment horizontal="center" vertical="center" wrapText="1"/>
    </xf>
    <xf numFmtId="0" fontId="112" fillId="14" borderId="17" xfId="0" applyFont="1" applyFill="1" applyBorder="1" applyAlignment="1">
      <alignment horizontal="center" vertical="center" wrapText="1"/>
    </xf>
    <xf numFmtId="0" fontId="113" fillId="3" borderId="17" xfId="0" applyFont="1" applyFill="1" applyBorder="1" applyAlignment="1">
      <alignment horizontal="center" vertical="center" wrapText="1"/>
    </xf>
    <xf numFmtId="0" fontId="112" fillId="6" borderId="17" xfId="0" applyFont="1" applyFill="1" applyBorder="1" applyAlignment="1">
      <alignment horizontal="center" vertical="center" wrapText="1"/>
    </xf>
    <xf numFmtId="0" fontId="114" fillId="15" borderId="17" xfId="0" applyFont="1" applyFill="1" applyBorder="1" applyAlignment="1">
      <alignment horizontal="center" vertical="center" wrapText="1"/>
    </xf>
    <xf numFmtId="0" fontId="0" fillId="0" borderId="0" xfId="0" applyAlignment="1">
      <alignment horizontal="center"/>
    </xf>
    <xf numFmtId="0" fontId="95" fillId="5" borderId="94" xfId="0" applyFont="1" applyFill="1" applyBorder="1" applyAlignment="1">
      <alignment horizontal="center" vertical="center"/>
    </xf>
    <xf numFmtId="0" fontId="95" fillId="5" borderId="95" xfId="0" applyFont="1" applyFill="1" applyBorder="1" applyAlignment="1">
      <alignment horizontal="center" vertical="center"/>
    </xf>
    <xf numFmtId="0" fontId="95" fillId="5" borderId="3"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57" fillId="8" borderId="0" xfId="0" applyFont="1" applyFill="1" applyBorder="1" applyAlignment="1">
      <alignment horizontal="center" vertical="center"/>
    </xf>
    <xf numFmtId="9" fontId="57" fillId="0" borderId="0" xfId="0" applyNumberFormat="1" applyFont="1" applyFill="1" applyBorder="1" applyAlignment="1">
      <alignment horizontal="center" vertical="center"/>
    </xf>
    <xf numFmtId="9" fontId="0" fillId="0" borderId="0" xfId="1" applyFont="1" applyAlignment="1">
      <alignment horizontal="center"/>
    </xf>
    <xf numFmtId="9" fontId="0" fillId="0" borderId="0" xfId="0" applyNumberFormat="1" applyAlignment="1">
      <alignment horizontal="center"/>
    </xf>
    <xf numFmtId="0" fontId="66" fillId="0" borderId="0" xfId="0" applyFont="1" applyFill="1" applyAlignment="1">
      <alignment horizontal="center" vertical="top" wrapText="1"/>
    </xf>
    <xf numFmtId="0" fontId="108" fillId="0" borderId="0" xfId="0" applyFont="1" applyFill="1" applyAlignment="1">
      <alignment horizontal="left" vertical="center" wrapText="1" indent="11"/>
    </xf>
    <xf numFmtId="0" fontId="66" fillId="0" borderId="0" xfId="0" applyFont="1" applyFill="1" applyBorder="1" applyAlignment="1">
      <alignment horizontal="left" vertical="center" wrapText="1"/>
    </xf>
    <xf numFmtId="0" fontId="108" fillId="0" borderId="0" xfId="0" applyFont="1" applyAlignment="1">
      <alignment vertical="top" wrapText="1"/>
    </xf>
    <xf numFmtId="0" fontId="31" fillId="16" borderId="1" xfId="0" applyFont="1" applyFill="1" applyBorder="1" applyAlignment="1">
      <alignment wrapText="1"/>
    </xf>
    <xf numFmtId="0" fontId="31" fillId="16" borderId="2" xfId="0" applyFont="1" applyFill="1" applyBorder="1" applyAlignment="1">
      <alignment wrapText="1"/>
    </xf>
    <xf numFmtId="0" fontId="32" fillId="16" borderId="3" xfId="0" applyFont="1" applyFill="1" applyBorder="1" applyAlignment="1">
      <alignment horizontal="left" wrapText="1"/>
    </xf>
    <xf numFmtId="0" fontId="29" fillId="16" borderId="4" xfId="0" applyFont="1" applyFill="1" applyBorder="1" applyAlignment="1">
      <alignment vertical="top" wrapText="1"/>
    </xf>
    <xf numFmtId="0" fontId="29" fillId="16" borderId="0" xfId="0" applyFont="1" applyFill="1" applyAlignment="1">
      <alignment vertical="top" wrapText="1"/>
    </xf>
    <xf numFmtId="0" fontId="57" fillId="16" borderId="0" xfId="0" applyFont="1" applyFill="1" applyBorder="1" applyAlignment="1">
      <alignment vertical="center"/>
    </xf>
    <xf numFmtId="0" fontId="43" fillId="16" borderId="0" xfId="0" applyFont="1" applyFill="1"/>
    <xf numFmtId="0" fontId="116" fillId="16" borderId="0" xfId="0" applyFont="1" applyFill="1"/>
    <xf numFmtId="0" fontId="34" fillId="16" borderId="6" xfId="0" applyFont="1" applyFill="1" applyBorder="1" applyAlignment="1">
      <alignment horizontal="left" vertical="center"/>
    </xf>
    <xf numFmtId="0" fontId="86" fillId="16" borderId="0" xfId="0" applyFont="1" applyFill="1" applyBorder="1" applyAlignment="1">
      <alignment horizontal="left" vertical="center"/>
    </xf>
    <xf numFmtId="0" fontId="104" fillId="16" borderId="0" xfId="0" applyFont="1" applyFill="1" applyBorder="1" applyAlignment="1">
      <alignment horizontal="left" vertical="center"/>
    </xf>
    <xf numFmtId="0" fontId="117" fillId="2" borderId="0" xfId="0" applyFont="1" applyFill="1" applyAlignment="1">
      <alignment horizontal="left" vertical="center"/>
    </xf>
    <xf numFmtId="0" fontId="85" fillId="16" borderId="4" xfId="0" applyFont="1" applyFill="1" applyBorder="1" applyAlignment="1">
      <alignment vertical="top" wrapText="1"/>
    </xf>
    <xf numFmtId="0" fontId="118" fillId="16" borderId="0" xfId="0" applyFont="1" applyFill="1"/>
    <xf numFmtId="0" fontId="118" fillId="0" borderId="0" xfId="0" applyFont="1"/>
    <xf numFmtId="0" fontId="120" fillId="2" borderId="0" xfId="0" applyFont="1" applyFill="1" applyAlignment="1">
      <alignment horizontal="left" vertical="center"/>
    </xf>
    <xf numFmtId="0" fontId="121" fillId="16" borderId="4" xfId="0" applyFont="1" applyFill="1" applyBorder="1" applyAlignment="1">
      <alignment vertical="center" wrapText="1"/>
    </xf>
    <xf numFmtId="0" fontId="43" fillId="16" borderId="0" xfId="0" applyFont="1" applyFill="1" applyAlignment="1">
      <alignment vertical="center"/>
    </xf>
    <xf numFmtId="0" fontId="54" fillId="2" borderId="18" xfId="0" applyFont="1" applyFill="1" applyBorder="1" applyAlignment="1">
      <alignment horizontal="center" vertical="center"/>
    </xf>
    <xf numFmtId="0" fontId="54" fillId="2" borderId="15" xfId="0" applyFont="1" applyFill="1" applyBorder="1" applyAlignment="1">
      <alignment horizontal="center" vertical="center" wrapText="1"/>
    </xf>
    <xf numFmtId="0" fontId="54" fillId="2" borderId="15" xfId="0" applyFont="1" applyFill="1" applyBorder="1" applyAlignment="1">
      <alignment vertical="center" wrapText="1"/>
    </xf>
    <xf numFmtId="9" fontId="54" fillId="2" borderId="98" xfId="0" applyNumberFormat="1" applyFont="1" applyFill="1" applyBorder="1" applyAlignment="1">
      <alignment horizontal="center" vertical="center" wrapText="1"/>
    </xf>
    <xf numFmtId="1" fontId="54" fillId="2" borderId="97" xfId="0" applyNumberFormat="1" applyFont="1" applyFill="1" applyBorder="1" applyAlignment="1">
      <alignment horizontal="center" vertical="center" wrapText="1"/>
    </xf>
    <xf numFmtId="0" fontId="43" fillId="0" borderId="0" xfId="0" applyFont="1" applyAlignment="1">
      <alignment vertical="center"/>
    </xf>
    <xf numFmtId="0" fontId="0" fillId="16" borderId="0" xfId="0" applyFill="1"/>
    <xf numFmtId="0" fontId="53" fillId="16" borderId="0" xfId="0" applyFont="1" applyFill="1" applyAlignment="1">
      <alignment horizontal="center" vertical="top"/>
    </xf>
    <xf numFmtId="0" fontId="53" fillId="16" borderId="0" xfId="0" applyFont="1" applyFill="1" applyAlignment="1">
      <alignment vertical="top" wrapText="1"/>
    </xf>
    <xf numFmtId="0" fontId="53" fillId="2" borderId="0" xfId="0" applyFont="1" applyFill="1" applyAlignment="1">
      <alignment horizontal="left" vertical="center" wrapText="1"/>
    </xf>
    <xf numFmtId="9" fontId="53" fillId="16" borderId="51" xfId="0" applyNumberFormat="1" applyFont="1" applyFill="1" applyBorder="1" applyAlignment="1">
      <alignment horizontal="center" vertical="center"/>
    </xf>
    <xf numFmtId="1" fontId="53" fillId="16" borderId="52" xfId="0" applyNumberFormat="1" applyFont="1" applyFill="1" applyBorder="1" applyAlignment="1">
      <alignment horizontal="center" vertical="center"/>
    </xf>
    <xf numFmtId="9" fontId="53" fillId="16" borderId="0" xfId="0" applyNumberFormat="1" applyFont="1" applyFill="1" applyBorder="1" applyAlignment="1">
      <alignment horizontal="center" vertical="center"/>
    </xf>
    <xf numFmtId="0" fontId="53" fillId="16" borderId="100" xfId="0" applyNumberFormat="1" applyFont="1" applyFill="1" applyBorder="1" applyAlignment="1">
      <alignment horizontal="center" vertical="center"/>
    </xf>
    <xf numFmtId="1" fontId="53" fillId="16" borderId="100" xfId="0" applyNumberFormat="1" applyFont="1" applyFill="1" applyBorder="1" applyAlignment="1">
      <alignment horizontal="center" vertical="center"/>
    </xf>
    <xf numFmtId="1" fontId="53" fillId="16" borderId="101" xfId="0" applyNumberFormat="1" applyFont="1" applyFill="1" applyBorder="1" applyAlignment="1">
      <alignment horizontal="center" vertical="center"/>
    </xf>
    <xf numFmtId="0" fontId="53" fillId="16" borderId="1" xfId="0" applyFont="1" applyFill="1" applyBorder="1" applyAlignment="1">
      <alignment horizontal="center" vertical="top"/>
    </xf>
    <xf numFmtId="0" fontId="53" fillId="16" borderId="2" xfId="0" applyFont="1" applyFill="1" applyBorder="1" applyAlignment="1">
      <alignment vertical="top" wrapText="1"/>
    </xf>
    <xf numFmtId="0" fontId="53" fillId="2" borderId="2" xfId="0" applyFont="1" applyFill="1" applyBorder="1" applyAlignment="1">
      <alignment horizontal="left" vertical="center" wrapText="1"/>
    </xf>
    <xf numFmtId="1" fontId="53" fillId="16" borderId="95" xfId="0" applyNumberFormat="1" applyFont="1" applyFill="1" applyBorder="1" applyAlignment="1">
      <alignment horizontal="center" vertical="center"/>
    </xf>
    <xf numFmtId="9" fontId="53" fillId="16" borderId="2" xfId="0" applyNumberFormat="1" applyFont="1" applyFill="1" applyBorder="1" applyAlignment="1">
      <alignment horizontal="center" vertical="center"/>
    </xf>
    <xf numFmtId="0" fontId="53" fillId="16" borderId="102" xfId="0" applyNumberFormat="1" applyFont="1" applyFill="1" applyBorder="1" applyAlignment="1">
      <alignment horizontal="center" vertical="center"/>
    </xf>
    <xf numFmtId="1" fontId="53" fillId="16" borderId="102" xfId="0" applyNumberFormat="1" applyFont="1" applyFill="1" applyBorder="1" applyAlignment="1">
      <alignment horizontal="center" vertical="center"/>
    </xf>
    <xf numFmtId="0" fontId="53" fillId="16" borderId="4" xfId="0" applyFont="1" applyFill="1" applyBorder="1" applyAlignment="1">
      <alignment horizontal="center" vertical="top"/>
    </xf>
    <xf numFmtId="0" fontId="53" fillId="16" borderId="0" xfId="0" applyFont="1" applyFill="1" applyBorder="1" applyAlignment="1">
      <alignment vertical="top" wrapText="1"/>
    </xf>
    <xf numFmtId="0" fontId="53" fillId="2" borderId="0" xfId="0" applyFont="1" applyFill="1" applyBorder="1" applyAlignment="1">
      <alignment horizontal="left" vertical="center" wrapText="1"/>
    </xf>
    <xf numFmtId="0" fontId="53" fillId="16" borderId="14" xfId="0" applyFont="1" applyFill="1" applyBorder="1" applyAlignment="1">
      <alignment horizontal="center" vertical="top"/>
    </xf>
    <xf numFmtId="0" fontId="53" fillId="16" borderId="5" xfId="0" applyFont="1" applyFill="1" applyBorder="1" applyAlignment="1">
      <alignment vertical="top" wrapText="1"/>
    </xf>
    <xf numFmtId="0" fontId="53" fillId="2" borderId="5" xfId="0" applyFont="1" applyFill="1" applyBorder="1" applyAlignment="1">
      <alignment horizontal="left" vertical="center" wrapText="1"/>
    </xf>
    <xf numFmtId="1" fontId="53" fillId="16" borderId="103" xfId="0" applyNumberFormat="1" applyFont="1" applyFill="1" applyBorder="1" applyAlignment="1">
      <alignment horizontal="center" vertical="center"/>
    </xf>
    <xf numFmtId="9" fontId="53" fillId="16" borderId="5" xfId="0" applyNumberFormat="1" applyFont="1" applyFill="1" applyBorder="1" applyAlignment="1">
      <alignment horizontal="center" vertical="center"/>
    </xf>
    <xf numFmtId="0" fontId="53" fillId="16" borderId="104" xfId="0" applyNumberFormat="1" applyFont="1" applyFill="1" applyBorder="1" applyAlignment="1">
      <alignment horizontal="center" vertical="center"/>
    </xf>
    <xf numFmtId="1" fontId="53" fillId="16" borderId="104" xfId="0" applyNumberFormat="1" applyFont="1" applyFill="1" applyBorder="1" applyAlignment="1">
      <alignment horizontal="center" vertical="center"/>
    </xf>
    <xf numFmtId="0" fontId="53" fillId="16" borderId="2" xfId="0" applyFont="1" applyFill="1" applyBorder="1" applyAlignment="1">
      <alignment horizontal="center" vertical="top"/>
    </xf>
    <xf numFmtId="0" fontId="53" fillId="16" borderId="0" xfId="0" applyFont="1" applyFill="1" applyBorder="1" applyAlignment="1">
      <alignment horizontal="center" vertical="top"/>
    </xf>
    <xf numFmtId="0" fontId="53" fillId="16" borderId="5" xfId="0" applyFont="1" applyFill="1" applyBorder="1" applyAlignment="1">
      <alignment horizontal="center" vertical="top"/>
    </xf>
    <xf numFmtId="0" fontId="29" fillId="16" borderId="0" xfId="0" applyFont="1" applyFill="1" applyBorder="1" applyAlignment="1">
      <alignment vertical="top" wrapText="1"/>
    </xf>
    <xf numFmtId="0" fontId="36" fillId="16" borderId="14"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29" fillId="16" borderId="16" xfId="0" applyFont="1" applyFill="1" applyBorder="1" applyAlignment="1">
      <alignment horizontal="center" vertical="top" wrapText="1"/>
    </xf>
    <xf numFmtId="0" fontId="43" fillId="0" borderId="0" xfId="0" applyFont="1"/>
    <xf numFmtId="0" fontId="116" fillId="0" borderId="0" xfId="0" applyFont="1"/>
    <xf numFmtId="0" fontId="95" fillId="5" borderId="0" xfId="0" applyFont="1" applyFill="1" applyBorder="1" applyAlignment="1">
      <alignment horizontal="left" vertical="center"/>
    </xf>
    <xf numFmtId="0" fontId="95" fillId="5" borderId="0" xfId="0" applyFont="1" applyFill="1" applyBorder="1" applyAlignment="1">
      <alignment horizontal="center" vertical="center"/>
    </xf>
    <xf numFmtId="9" fontId="13" fillId="4" borderId="41" xfId="0" applyNumberFormat="1" applyFont="1" applyFill="1" applyBorder="1" applyAlignment="1" applyProtection="1">
      <alignment horizontal="center" vertical="top" wrapText="1"/>
      <protection locked="0"/>
    </xf>
    <xf numFmtId="9" fontId="13" fillId="0" borderId="42" xfId="0" applyNumberFormat="1" applyFont="1" applyFill="1" applyBorder="1" applyAlignment="1" applyProtection="1">
      <alignment horizontal="center" vertical="top" wrapText="1"/>
      <protection locked="0"/>
    </xf>
    <xf numFmtId="9" fontId="13" fillId="4" borderId="42" xfId="0" applyNumberFormat="1" applyFont="1" applyFill="1" applyBorder="1" applyAlignment="1" applyProtection="1">
      <alignment horizontal="center" vertical="top" wrapText="1"/>
      <protection locked="0"/>
    </xf>
    <xf numFmtId="0" fontId="122" fillId="0" borderId="0" xfId="0" applyFont="1" applyFill="1"/>
    <xf numFmtId="9" fontId="11" fillId="0" borderId="0" xfId="1" applyFont="1" applyFill="1" applyAlignment="1">
      <alignment horizontal="center"/>
    </xf>
    <xf numFmtId="0" fontId="11" fillId="0" borderId="0" xfId="0" applyFont="1" applyFill="1" applyAlignment="1">
      <alignment horizontal="center"/>
    </xf>
    <xf numFmtId="0" fontId="52"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center" wrapText="1"/>
    </xf>
    <xf numFmtId="0" fontId="11" fillId="16" borderId="0" xfId="0" applyFont="1" applyFill="1" applyBorder="1" applyAlignment="1">
      <alignment horizontal="center" vertical="top"/>
    </xf>
    <xf numFmtId="0" fontId="95" fillId="16" borderId="0" xfId="0" applyFont="1" applyFill="1" applyBorder="1" applyAlignment="1">
      <alignment vertical="center"/>
    </xf>
    <xf numFmtId="0" fontId="106" fillId="16" borderId="0" xfId="0" applyFont="1" applyFill="1" applyAlignment="1">
      <alignment horizontal="left" vertical="top" wrapText="1"/>
    </xf>
    <xf numFmtId="0" fontId="58" fillId="0" borderId="0" xfId="0" applyFont="1" applyFill="1" applyBorder="1" applyAlignment="1" applyProtection="1"/>
    <xf numFmtId="0" fontId="55" fillId="0" borderId="0" xfId="0" applyNumberFormat="1" applyFont="1" applyFill="1" applyBorder="1" applyAlignment="1" applyProtection="1">
      <alignment horizontal="left"/>
    </xf>
    <xf numFmtId="49" fontId="123" fillId="0" borderId="0" xfId="0" applyNumberFormat="1" applyFont="1" applyFill="1" applyBorder="1" applyAlignment="1" applyProtection="1">
      <alignment horizontal="left" vertical="top" wrapText="1"/>
    </xf>
    <xf numFmtId="0" fontId="125" fillId="16" borderId="0" xfId="0" applyFont="1" applyFill="1" applyBorder="1" applyAlignment="1" applyProtection="1">
      <alignment horizontal="left" vertical="center" wrapText="1"/>
    </xf>
    <xf numFmtId="0" fontId="125" fillId="16" borderId="6" xfId="0" applyFont="1" applyFill="1" applyBorder="1" applyAlignment="1" applyProtection="1">
      <alignment horizontal="left" vertical="top" wrapText="1"/>
    </xf>
    <xf numFmtId="0" fontId="125" fillId="16" borderId="4" xfId="0" applyFont="1" applyFill="1" applyBorder="1" applyAlignment="1" applyProtection="1">
      <alignment horizontal="left" vertical="center" wrapText="1"/>
    </xf>
    <xf numFmtId="0" fontId="21" fillId="16" borderId="0" xfId="0" applyFont="1" applyFill="1" applyBorder="1" applyAlignment="1" applyProtection="1">
      <alignment horizontal="left" vertical="center" wrapText="1"/>
    </xf>
    <xf numFmtId="49" fontId="123" fillId="16" borderId="0" xfId="0" applyNumberFormat="1" applyFont="1" applyFill="1" applyBorder="1" applyAlignment="1" applyProtection="1">
      <alignment horizontal="left" vertical="top" wrapText="1"/>
    </xf>
    <xf numFmtId="0" fontId="18" fillId="0" borderId="0" xfId="0" applyFont="1" applyBorder="1" applyAlignment="1" applyProtection="1">
      <alignment horizontal="center" vertical="center" wrapText="1"/>
    </xf>
    <xf numFmtId="0" fontId="23" fillId="16" borderId="0"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125" fillId="2" borderId="15" xfId="0" applyFont="1" applyFill="1" applyBorder="1" applyAlignment="1" applyProtection="1">
      <alignment horizontal="left" vertical="center" wrapText="1"/>
    </xf>
    <xf numFmtId="0" fontId="125" fillId="2" borderId="15" xfId="0" applyFont="1" applyFill="1" applyBorder="1" applyAlignment="1" applyProtection="1">
      <alignment horizontal="left" vertical="top" wrapText="1"/>
    </xf>
    <xf numFmtId="0" fontId="71"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wrapText="1"/>
    </xf>
    <xf numFmtId="0" fontId="9" fillId="16" borderId="0" xfId="0" applyFont="1" applyFill="1" applyBorder="1" applyAlignment="1" applyProtection="1">
      <alignment horizontal="left"/>
    </xf>
    <xf numFmtId="0" fontId="55" fillId="0" borderId="0" xfId="0" applyFont="1" applyFill="1" applyBorder="1" applyAlignment="1" applyProtection="1"/>
    <xf numFmtId="0" fontId="58" fillId="0" borderId="0" xfId="0" applyNumberFormat="1" applyFont="1" applyFill="1" applyBorder="1" applyAlignment="1" applyProtection="1"/>
    <xf numFmtId="0" fontId="3" fillId="0" borderId="4" xfId="0" applyFont="1" applyBorder="1" applyAlignment="1" applyProtection="1">
      <alignment horizontal="left" vertical="top" wrapText="1"/>
    </xf>
    <xf numFmtId="0" fontId="23" fillId="16" borderId="4" xfId="0" applyFont="1" applyFill="1" applyBorder="1" applyAlignment="1" applyProtection="1">
      <alignment horizontal="left" vertical="center" wrapText="1"/>
    </xf>
    <xf numFmtId="0" fontId="23" fillId="16" borderId="6" xfId="0" applyFont="1" applyFill="1" applyBorder="1" applyAlignment="1" applyProtection="1">
      <alignment horizontal="left" vertical="center" wrapText="1"/>
    </xf>
    <xf numFmtId="0" fontId="13" fillId="0" borderId="6" xfId="0" applyFont="1" applyBorder="1" applyAlignment="1" applyProtection="1">
      <alignment vertical="top" wrapText="1"/>
    </xf>
    <xf numFmtId="0" fontId="9" fillId="16" borderId="4" xfId="0" applyFont="1" applyFill="1" applyBorder="1" applyAlignment="1" applyProtection="1">
      <alignment horizontal="left"/>
    </xf>
    <xf numFmtId="0" fontId="13" fillId="0" borderId="14" xfId="0" applyFont="1" applyBorder="1" applyAlignment="1" applyProtection="1">
      <alignment vertical="top" wrapText="1"/>
    </xf>
    <xf numFmtId="0" fontId="13" fillId="0" borderId="16" xfId="0" applyFont="1" applyBorder="1" applyAlignment="1" applyProtection="1">
      <alignment vertical="top" wrapText="1"/>
    </xf>
    <xf numFmtId="0" fontId="21" fillId="16" borderId="4" xfId="0" applyFont="1" applyFill="1" applyBorder="1" applyAlignment="1" applyProtection="1">
      <alignment horizontal="left" vertical="center" wrapText="1"/>
    </xf>
    <xf numFmtId="0" fontId="21" fillId="16" borderId="6" xfId="0" applyFont="1" applyFill="1" applyBorder="1" applyAlignment="1" applyProtection="1">
      <alignment horizontal="left" vertical="center" wrapText="1"/>
    </xf>
    <xf numFmtId="0" fontId="9" fillId="16" borderId="6" xfId="0" applyFont="1" applyFill="1" applyBorder="1" applyAlignment="1" applyProtection="1">
      <alignment horizontal="left"/>
    </xf>
    <xf numFmtId="0" fontId="28" fillId="2" borderId="0" xfId="0" applyFont="1" applyFill="1" applyBorder="1" applyAlignment="1">
      <alignment horizontal="left"/>
    </xf>
    <xf numFmtId="0" fontId="34" fillId="0" borderId="4" xfId="0" applyFont="1" applyBorder="1" applyAlignment="1">
      <alignment wrapText="1"/>
    </xf>
    <xf numFmtId="0" fontId="34" fillId="0" borderId="0" xfId="0" applyFont="1" applyBorder="1" applyAlignment="1">
      <alignment wrapText="1"/>
    </xf>
    <xf numFmtId="0" fontId="61" fillId="0" borderId="5" xfId="0" applyFont="1" applyFill="1" applyBorder="1" applyAlignment="1">
      <alignment wrapText="1"/>
    </xf>
    <xf numFmtId="0" fontId="34" fillId="0" borderId="6" xfId="0" applyFont="1" applyFill="1" applyBorder="1" applyAlignment="1">
      <alignment horizontal="left" wrapText="1"/>
    </xf>
    <xf numFmtId="0" fontId="28" fillId="0" borderId="0" xfId="0" applyFont="1" applyFill="1" applyBorder="1" applyAlignment="1">
      <alignment horizontal="left"/>
    </xf>
    <xf numFmtId="0" fontId="99" fillId="0" borderId="0" xfId="0" applyFont="1" applyBorder="1" applyAlignment="1">
      <alignment wrapText="1"/>
    </xf>
    <xf numFmtId="0" fontId="29" fillId="0" borderId="0" xfId="0" applyFont="1" applyBorder="1" applyAlignment="1">
      <alignment wrapText="1"/>
    </xf>
    <xf numFmtId="0" fontId="90" fillId="0" borderId="0" xfId="0" applyFont="1" applyFill="1" applyAlignment="1">
      <alignment vertical="center" wrapText="1"/>
    </xf>
    <xf numFmtId="0" fontId="61" fillId="0" borderId="5" xfId="0" applyFont="1" applyFill="1" applyBorder="1" applyAlignment="1">
      <alignment horizontal="center" textRotation="90" wrapText="1"/>
    </xf>
    <xf numFmtId="0" fontId="66" fillId="0" borderId="5" xfId="0" applyFont="1" applyBorder="1" applyAlignment="1">
      <alignment horizontal="center" vertical="center" wrapText="1"/>
    </xf>
    <xf numFmtId="0" fontId="66" fillId="0" borderId="5" xfId="0" applyFont="1" applyBorder="1" applyAlignment="1">
      <alignment vertical="top" wrapText="1"/>
    </xf>
    <xf numFmtId="0" fontId="90" fillId="0" borderId="105" xfId="0" applyFont="1" applyFill="1" applyBorder="1" applyAlignment="1">
      <alignment horizontal="center" vertical="center" wrapText="1"/>
    </xf>
    <xf numFmtId="0" fontId="66" fillId="0" borderId="0" xfId="0" applyFont="1" applyBorder="1" applyAlignment="1">
      <alignment vertical="top"/>
    </xf>
    <xf numFmtId="0" fontId="61" fillId="0" borderId="0" xfId="0" applyFont="1" applyFill="1" applyBorder="1" applyAlignment="1">
      <alignment vertical="center"/>
    </xf>
    <xf numFmtId="0" fontId="31" fillId="0" borderId="2" xfId="0" applyFont="1" applyBorder="1" applyAlignment="1">
      <alignment horizontal="center" wrapText="1"/>
    </xf>
    <xf numFmtId="0" fontId="61" fillId="0" borderId="0" xfId="0" applyFont="1" applyFill="1" applyBorder="1" applyAlignment="1">
      <alignment horizontal="center" vertical="center" wrapText="1"/>
    </xf>
    <xf numFmtId="0" fontId="64" fillId="0" borderId="0" xfId="0" applyFont="1" applyAlignment="1">
      <alignment horizontal="center" vertical="center" wrapText="1"/>
    </xf>
    <xf numFmtId="0" fontId="29" fillId="0" borderId="5" xfId="0" applyFont="1" applyBorder="1" applyAlignment="1">
      <alignment horizontal="center" vertical="top" wrapText="1"/>
    </xf>
    <xf numFmtId="0" fontId="126" fillId="0" borderId="0"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64" fillId="0" borderId="0" xfId="0" applyFont="1" applyBorder="1" applyAlignment="1">
      <alignment horizontal="center" vertical="top" wrapText="1"/>
    </xf>
    <xf numFmtId="0" fontId="64" fillId="0" borderId="0" xfId="0" applyFont="1" applyBorder="1" applyAlignment="1">
      <alignment horizontal="center" vertical="center" wrapText="1"/>
    </xf>
    <xf numFmtId="0" fontId="64" fillId="0" borderId="0" xfId="0" applyFont="1" applyBorder="1" applyAlignment="1">
      <alignment horizontal="center" vertical="center"/>
    </xf>
    <xf numFmtId="0" fontId="52" fillId="0" borderId="17" xfId="0" applyFont="1" applyFill="1" applyBorder="1" applyAlignment="1" applyProtection="1">
      <alignment horizontal="center" vertical="center" wrapText="1"/>
      <protection locked="0"/>
    </xf>
    <xf numFmtId="0" fontId="9" fillId="2" borderId="0" xfId="0" applyFont="1" applyFill="1" applyAlignment="1" applyProtection="1">
      <alignment horizontal="left" wrapText="1"/>
    </xf>
    <xf numFmtId="0" fontId="79" fillId="0" borderId="0" xfId="0" applyFont="1" applyAlignment="1" applyProtection="1">
      <alignment vertical="center" wrapText="1"/>
    </xf>
    <xf numFmtId="0" fontId="108" fillId="0" borderId="4" xfId="0" applyFont="1" applyFill="1" applyBorder="1" applyAlignment="1">
      <alignment horizontal="center" vertical="top" wrapText="1"/>
    </xf>
    <xf numFmtId="0" fontId="90" fillId="0" borderId="0" xfId="0" applyFont="1" applyFill="1" applyAlignment="1">
      <alignment horizontal="center" vertical="center"/>
    </xf>
    <xf numFmtId="0" fontId="36" fillId="0" borderId="0" xfId="0" applyFont="1" applyAlignment="1">
      <alignment vertical="top" wrapText="1"/>
    </xf>
    <xf numFmtId="0" fontId="128" fillId="0" borderId="0" xfId="0" applyFont="1" applyAlignment="1">
      <alignment vertical="top" wrapText="1"/>
    </xf>
    <xf numFmtId="0" fontId="36" fillId="0" borderId="0" xfId="0" applyFont="1" applyAlignment="1">
      <alignment horizontal="center" wrapText="1"/>
    </xf>
    <xf numFmtId="0" fontId="36" fillId="0" borderId="0" xfId="0" applyFont="1" applyAlignment="1">
      <alignment horizontal="center" vertical="center" wrapText="1"/>
    </xf>
    <xf numFmtId="1" fontId="11" fillId="0" borderId="0" xfId="1" applyNumberFormat="1" applyFont="1" applyAlignment="1">
      <alignment horizontal="center"/>
    </xf>
    <xf numFmtId="1" fontId="95" fillId="5" borderId="0" xfId="0" applyNumberFormat="1" applyFont="1" applyFill="1" applyBorder="1" applyAlignment="1">
      <alignment horizontal="center" vertical="center"/>
    </xf>
    <xf numFmtId="1" fontId="11" fillId="0" borderId="0" xfId="0" applyNumberFormat="1" applyFont="1"/>
    <xf numFmtId="1" fontId="129" fillId="5" borderId="0" xfId="0" applyNumberFormat="1" applyFont="1" applyFill="1"/>
    <xf numFmtId="9" fontId="95" fillId="5" borderId="0" xfId="1" applyFont="1" applyFill="1" applyBorder="1" applyAlignment="1">
      <alignment horizontal="center" vertical="center"/>
    </xf>
    <xf numFmtId="0" fontId="95" fillId="5" borderId="39" xfId="0" applyFont="1" applyFill="1" applyBorder="1" applyAlignment="1">
      <alignment horizontal="center" vertical="center"/>
    </xf>
    <xf numFmtId="0" fontId="95" fillId="16" borderId="0" xfId="0" applyFont="1" applyFill="1" applyBorder="1" applyAlignment="1">
      <alignment horizontal="center" vertical="center"/>
    </xf>
    <xf numFmtId="0" fontId="12" fillId="0" borderId="0" xfId="0" applyFont="1"/>
    <xf numFmtId="0" fontId="91" fillId="0" borderId="0" xfId="0" applyFont="1" applyAlignment="1">
      <alignment vertical="top" wrapText="1"/>
    </xf>
    <xf numFmtId="0" fontId="130" fillId="0" borderId="0" xfId="0" applyFont="1" applyAlignment="1">
      <alignment horizontal="center" vertical="center" wrapText="1"/>
    </xf>
    <xf numFmtId="0" fontId="121" fillId="0" borderId="0" xfId="0" applyFont="1" applyAlignment="1">
      <alignment vertical="top" wrapText="1"/>
    </xf>
    <xf numFmtId="0" fontId="121" fillId="0" borderId="0" xfId="0" applyFont="1" applyAlignment="1">
      <alignment horizontal="center" vertical="top" wrapText="1"/>
    </xf>
    <xf numFmtId="0" fontId="121" fillId="0" borderId="0" xfId="0" applyFont="1" applyAlignment="1">
      <alignment horizontal="center" vertical="center" wrapText="1"/>
    </xf>
    <xf numFmtId="0" fontId="121" fillId="0" borderId="0" xfId="0" applyFont="1" applyFill="1" applyBorder="1" applyAlignment="1">
      <alignment horizontal="center" vertical="top" wrapText="1"/>
    </xf>
    <xf numFmtId="0" fontId="127" fillId="22" borderId="0" xfId="0" applyFont="1" applyFill="1" applyAlignment="1">
      <alignment horizontal="center" vertical="center" wrapText="1"/>
    </xf>
    <xf numFmtId="0" fontId="131" fillId="0" borderId="0" xfId="0" applyFont="1" applyAlignment="1">
      <alignment horizontal="center" vertical="center" wrapText="1"/>
    </xf>
    <xf numFmtId="0" fontId="132" fillId="0" borderId="0" xfId="0" applyFont="1" applyAlignment="1">
      <alignment vertical="top" wrapText="1"/>
    </xf>
    <xf numFmtId="0" fontId="10" fillId="16" borderId="1" xfId="0" applyFont="1" applyFill="1" applyBorder="1" applyAlignment="1" applyProtection="1">
      <alignment wrapText="1"/>
    </xf>
    <xf numFmtId="0" fontId="93" fillId="16" borderId="2" xfId="0" applyFont="1" applyFill="1" applyBorder="1" applyAlignment="1" applyProtection="1">
      <alignment horizontal="left"/>
    </xf>
    <xf numFmtId="0" fontId="8" fillId="16" borderId="3" xfId="0" applyFont="1" applyFill="1" applyBorder="1" applyAlignment="1" applyProtection="1">
      <alignment horizontal="left" wrapText="1"/>
    </xf>
    <xf numFmtId="0" fontId="9" fillId="16" borderId="4" xfId="0" applyFont="1" applyFill="1" applyBorder="1" applyAlignment="1" applyProtection="1"/>
    <xf numFmtId="0" fontId="3" fillId="16" borderId="6" xfId="0" applyFont="1" applyFill="1" applyBorder="1" applyAlignment="1" applyProtection="1">
      <alignment wrapText="1"/>
    </xf>
    <xf numFmtId="0" fontId="18" fillId="16" borderId="14" xfId="0" applyFont="1" applyFill="1" applyBorder="1" applyAlignment="1" applyProtection="1">
      <alignment horizontal="center" vertical="center" wrapText="1"/>
    </xf>
    <xf numFmtId="0" fontId="18" fillId="16" borderId="5" xfId="0" applyFont="1" applyFill="1" applyBorder="1" applyAlignment="1" applyProtection="1">
      <alignment horizontal="center" vertical="center" wrapText="1"/>
    </xf>
    <xf numFmtId="0" fontId="20" fillId="16" borderId="5" xfId="0" applyFont="1" applyFill="1" applyBorder="1" applyAlignment="1" applyProtection="1">
      <alignment horizontal="right" vertical="top" wrapText="1"/>
    </xf>
    <xf numFmtId="0" fontId="13" fillId="16" borderId="16" xfId="0" applyFont="1" applyFill="1" applyBorder="1" applyAlignment="1" applyProtection="1">
      <alignment horizontal="center" vertical="top" wrapText="1"/>
    </xf>
    <xf numFmtId="0" fontId="50" fillId="16" borderId="35" xfId="0" applyFont="1" applyFill="1" applyBorder="1" applyAlignment="1" applyProtection="1">
      <alignment horizontal="left" vertical="center"/>
    </xf>
    <xf numFmtId="0" fontId="9" fillId="2" borderId="0" xfId="0" applyFont="1" applyFill="1" applyAlignment="1" applyProtection="1">
      <alignment horizontal="left"/>
      <protection locked="0"/>
    </xf>
    <xf numFmtId="0" fontId="39" fillId="16" borderId="4" xfId="0" applyFont="1" applyFill="1" applyBorder="1" applyAlignment="1" applyProtection="1">
      <protection locked="0"/>
    </xf>
    <xf numFmtId="0" fontId="3" fillId="16" borderId="6" xfId="0" applyFont="1" applyFill="1" applyBorder="1" applyAlignment="1" applyProtection="1">
      <alignment wrapText="1"/>
      <protection locked="0"/>
    </xf>
    <xf numFmtId="0" fontId="9" fillId="2" borderId="0" xfId="0" applyFont="1" applyFill="1" applyBorder="1" applyAlignment="1" applyProtection="1">
      <alignment horizontal="left"/>
      <protection locked="0"/>
    </xf>
    <xf numFmtId="0" fontId="0" fillId="16" borderId="0" xfId="0" applyFill="1" applyProtection="1">
      <protection locked="0"/>
    </xf>
    <xf numFmtId="0" fontId="3" fillId="16" borderId="18" xfId="0" applyFont="1" applyFill="1" applyBorder="1" applyAlignment="1" applyProtection="1">
      <alignment vertical="center" wrapText="1"/>
      <protection locked="0"/>
    </xf>
    <xf numFmtId="14" fontId="3" fillId="16" borderId="63" xfId="0" applyNumberFormat="1" applyFont="1" applyFill="1" applyBorder="1" applyAlignment="1" applyProtection="1">
      <alignment horizontal="center" vertical="center" wrapText="1"/>
      <protection locked="0"/>
    </xf>
    <xf numFmtId="0" fontId="3" fillId="16" borderId="19" xfId="0" applyFont="1" applyFill="1" applyBorder="1" applyAlignment="1" applyProtection="1">
      <alignment vertical="center" wrapText="1"/>
      <protection locked="0"/>
    </xf>
    <xf numFmtId="0" fontId="3" fillId="16" borderId="63" xfId="0" applyFont="1" applyFill="1" applyBorder="1" applyAlignment="1" applyProtection="1">
      <alignment horizontal="center" vertical="center" wrapText="1"/>
      <protection locked="0"/>
    </xf>
    <xf numFmtId="0" fontId="0" fillId="16" borderId="1" xfId="0" applyFill="1" applyBorder="1"/>
    <xf numFmtId="0" fontId="0" fillId="16" borderId="2" xfId="0" applyFill="1" applyBorder="1"/>
    <xf numFmtId="0" fontId="0" fillId="16" borderId="3" xfId="0" applyFill="1" applyBorder="1"/>
    <xf numFmtId="0" fontId="0" fillId="16" borderId="4" xfId="0" applyFill="1" applyBorder="1"/>
    <xf numFmtId="0" fontId="0" fillId="16" borderId="0" xfId="0" applyFill="1" applyBorder="1"/>
    <xf numFmtId="0" fontId="0" fillId="16" borderId="6" xfId="0" applyFill="1" applyBorder="1"/>
    <xf numFmtId="0" fontId="0" fillId="16" borderId="14" xfId="0" applyFill="1" applyBorder="1"/>
    <xf numFmtId="0" fontId="0" fillId="16" borderId="5" xfId="0" applyFill="1" applyBorder="1"/>
    <xf numFmtId="0" fontId="0" fillId="16" borderId="16" xfId="0" applyFill="1" applyBorder="1"/>
    <xf numFmtId="0" fontId="134" fillId="0" borderId="5" xfId="0" applyFont="1" applyBorder="1" applyAlignment="1">
      <alignment horizontal="center" wrapText="1"/>
    </xf>
    <xf numFmtId="0" fontId="135" fillId="0" borderId="15" xfId="0" applyFont="1" applyFill="1" applyBorder="1" applyAlignment="1">
      <alignment wrapText="1"/>
    </xf>
    <xf numFmtId="0" fontId="136" fillId="0" borderId="0" xfId="0" applyFont="1" applyAlignment="1">
      <alignment horizontal="left" vertical="center"/>
    </xf>
    <xf numFmtId="0" fontId="99" fillId="2" borderId="0" xfId="0" applyFont="1" applyFill="1" applyAlignment="1">
      <alignment vertical="top" wrapText="1"/>
    </xf>
    <xf numFmtId="0" fontId="29" fillId="2" borderId="0" xfId="0" applyFont="1" applyFill="1" applyAlignment="1">
      <alignment vertical="top" wrapText="1"/>
    </xf>
    <xf numFmtId="0" fontId="134" fillId="16" borderId="18" xfId="0" applyFont="1" applyFill="1" applyBorder="1" applyAlignment="1">
      <alignment horizontal="center" vertical="center" wrapText="1"/>
    </xf>
    <xf numFmtId="0" fontId="29" fillId="24" borderId="15" xfId="0" applyFont="1" applyFill="1" applyBorder="1" applyAlignment="1">
      <alignment vertical="top" wrapText="1"/>
    </xf>
    <xf numFmtId="0" fontId="29" fillId="6" borderId="15" xfId="0" applyFont="1" applyFill="1" applyBorder="1" applyAlignment="1">
      <alignment vertical="top" wrapText="1"/>
    </xf>
    <xf numFmtId="0" fontId="29" fillId="25" borderId="15" xfId="0" applyFont="1" applyFill="1" applyBorder="1" applyAlignment="1">
      <alignment vertical="top" wrapText="1"/>
    </xf>
    <xf numFmtId="0" fontId="29" fillId="23" borderId="15" xfId="0" applyFont="1" applyFill="1" applyBorder="1" applyAlignment="1">
      <alignment vertical="top" wrapText="1"/>
    </xf>
    <xf numFmtId="0" fontId="29" fillId="15" borderId="19" xfId="0" applyFont="1" applyFill="1" applyBorder="1" applyAlignment="1">
      <alignment vertical="top" wrapText="1"/>
    </xf>
    <xf numFmtId="0" fontId="57" fillId="0" borderId="18" xfId="0" applyFont="1" applyFill="1" applyBorder="1" applyAlignment="1">
      <alignment vertical="center"/>
    </xf>
    <xf numFmtId="0" fontId="34" fillId="24" borderId="15" xfId="0" applyFont="1" applyFill="1" applyBorder="1" applyAlignment="1">
      <alignment vertical="top" wrapText="1"/>
    </xf>
    <xf numFmtId="0" fontId="34" fillId="6" borderId="15" xfId="0" applyFont="1" applyFill="1" applyBorder="1" applyAlignment="1">
      <alignment vertical="top" wrapText="1"/>
    </xf>
    <xf numFmtId="0" fontId="34" fillId="25" borderId="15" xfId="0" applyFont="1" applyFill="1" applyBorder="1" applyAlignment="1">
      <alignment vertical="top" wrapText="1"/>
    </xf>
    <xf numFmtId="0" fontId="34" fillId="23" borderId="15" xfId="0" applyFont="1" applyFill="1" applyBorder="1" applyAlignment="1">
      <alignment vertical="top" wrapText="1"/>
    </xf>
    <xf numFmtId="0" fontId="34" fillId="15" borderId="19" xfId="0" applyFont="1" applyFill="1" applyBorder="1" applyAlignment="1">
      <alignment vertical="top" wrapText="1"/>
    </xf>
    <xf numFmtId="0" fontId="0" fillId="16" borderId="0" xfId="0" applyFill="1" applyAlignment="1">
      <alignment wrapText="1"/>
    </xf>
    <xf numFmtId="0" fontId="66" fillId="0" borderId="0" xfId="0" applyFont="1" applyAlignment="1">
      <alignment vertical="top" wrapText="1"/>
    </xf>
    <xf numFmtId="0" fontId="52" fillId="0" borderId="0"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xf>
    <xf numFmtId="0" fontId="51" fillId="0" borderId="2" xfId="0" applyFont="1" applyFill="1" applyBorder="1" applyAlignment="1" applyProtection="1">
      <alignment horizontal="center"/>
    </xf>
    <xf numFmtId="0" fontId="32" fillId="0" borderId="8" xfId="0" applyFont="1" applyFill="1" applyBorder="1" applyAlignment="1">
      <alignment wrapText="1"/>
    </xf>
    <xf numFmtId="0" fontId="59" fillId="2" borderId="5" xfId="0" applyFont="1" applyFill="1" applyBorder="1" applyAlignment="1" applyProtection="1">
      <alignment horizontal="left" vertical="top" wrapText="1"/>
    </xf>
    <xf numFmtId="0" fontId="59" fillId="0" borderId="1" xfId="0" applyFont="1" applyFill="1" applyBorder="1" applyAlignment="1" applyProtection="1">
      <alignment horizontal="left" vertical="top" wrapText="1"/>
    </xf>
    <xf numFmtId="0" fontId="48" fillId="0" borderId="8" xfId="0" applyFont="1" applyFill="1" applyBorder="1" applyAlignment="1" applyProtection="1">
      <alignment horizontal="center" vertical="center" wrapText="1"/>
    </xf>
    <xf numFmtId="0" fontId="48" fillId="0" borderId="4" xfId="0" applyFont="1" applyFill="1" applyBorder="1" applyAlignment="1" applyProtection="1">
      <alignment horizontal="center" vertical="center" wrapText="1"/>
    </xf>
    <xf numFmtId="0" fontId="22" fillId="0" borderId="14" xfId="0" applyFont="1" applyFill="1" applyBorder="1" applyAlignment="1" applyProtection="1">
      <alignment vertical="center" wrapText="1"/>
    </xf>
    <xf numFmtId="0" fontId="50" fillId="0" borderId="2" xfId="0" applyFont="1" applyFill="1" applyBorder="1" applyAlignment="1" applyProtection="1">
      <alignment horizontal="left" vertical="center"/>
    </xf>
    <xf numFmtId="0" fontId="101" fillId="0" borderId="3" xfId="0" applyFont="1" applyBorder="1" applyAlignment="1" applyProtection="1">
      <alignment vertical="center" wrapText="1"/>
    </xf>
    <xf numFmtId="0" fontId="101" fillId="0" borderId="6" xfId="0" applyFont="1" applyBorder="1" applyAlignment="1" applyProtection="1">
      <alignment vertical="center" wrapText="1"/>
    </xf>
    <xf numFmtId="0" fontId="3" fillId="0" borderId="5" xfId="0" applyFont="1" applyBorder="1" applyAlignment="1" applyProtection="1">
      <alignment horizontal="left" vertical="center" wrapText="1"/>
    </xf>
    <xf numFmtId="0" fontId="101" fillId="0" borderId="5" xfId="0" applyFont="1" applyBorder="1" applyAlignment="1" applyProtection="1">
      <alignment vertical="center" wrapText="1"/>
    </xf>
    <xf numFmtId="0" fontId="101" fillId="0" borderId="16" xfId="0" applyFont="1" applyBorder="1" applyAlignment="1" applyProtection="1">
      <alignment vertical="center" wrapText="1"/>
    </xf>
    <xf numFmtId="0" fontId="7"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23" fillId="0" borderId="0" xfId="0" applyFont="1" applyFill="1" applyBorder="1" applyAlignment="1" applyProtection="1">
      <alignment horizontal="left" wrapText="1"/>
    </xf>
    <xf numFmtId="0" fontId="23"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13" fillId="16" borderId="4" xfId="0" applyFont="1" applyFill="1" applyBorder="1" applyAlignment="1" applyProtection="1">
      <alignment horizontal="left" vertical="center" wrapText="1"/>
    </xf>
    <xf numFmtId="0" fontId="133" fillId="16" borderId="0" xfId="0" applyFont="1" applyFill="1" applyBorder="1" applyAlignment="1" applyProtection="1">
      <alignment horizontal="left" vertical="center" wrapText="1"/>
    </xf>
    <xf numFmtId="0" fontId="13" fillId="16" borderId="6" xfId="0" applyFont="1" applyFill="1" applyBorder="1" applyAlignment="1" applyProtection="1">
      <alignment horizontal="left" vertical="center" wrapText="1"/>
    </xf>
    <xf numFmtId="0" fontId="0" fillId="16" borderId="0" xfId="0" applyFill="1" applyAlignment="1">
      <alignment horizontal="left" vertical="center"/>
    </xf>
    <xf numFmtId="0" fontId="3" fillId="0" borderId="17" xfId="0" applyFont="1" applyBorder="1" applyAlignment="1" applyProtection="1">
      <alignment horizontal="left" vertical="center" wrapText="1"/>
      <protection locked="0"/>
    </xf>
    <xf numFmtId="0" fontId="101" fillId="0" borderId="17" xfId="0" applyFont="1" applyBorder="1" applyAlignment="1" applyProtection="1">
      <alignment vertical="center" wrapText="1"/>
      <protection locked="0"/>
    </xf>
    <xf numFmtId="0" fontId="59" fillId="0" borderId="17" xfId="0" applyFont="1" applyFill="1" applyBorder="1" applyAlignment="1" applyProtection="1">
      <alignment horizontal="left" vertical="top" wrapText="1"/>
      <protection locked="0"/>
    </xf>
    <xf numFmtId="0" fontId="0" fillId="0" borderId="0" xfId="0" applyBorder="1"/>
    <xf numFmtId="0" fontId="44" fillId="0" borderId="0" xfId="0" applyFont="1" applyFill="1" applyBorder="1" applyAlignment="1">
      <alignment horizontal="left"/>
    </xf>
    <xf numFmtId="0" fontId="47" fillId="0" borderId="1" xfId="0" applyFont="1" applyBorder="1" applyAlignment="1" applyProtection="1">
      <alignment vertical="top" wrapText="1"/>
    </xf>
    <xf numFmtId="0" fontId="47" fillId="0" borderId="2" xfId="0" applyFont="1" applyBorder="1" applyAlignment="1" applyProtection="1">
      <alignment vertical="top" wrapText="1"/>
    </xf>
    <xf numFmtId="0" fontId="47" fillId="0" borderId="3" xfId="0" applyFont="1" applyBorder="1" applyAlignment="1" applyProtection="1">
      <alignment vertical="top" wrapText="1"/>
    </xf>
    <xf numFmtId="0" fontId="47" fillId="0" borderId="4" xfId="0" applyFont="1" applyBorder="1" applyAlignment="1" applyProtection="1">
      <alignment vertical="top" wrapText="1"/>
    </xf>
    <xf numFmtId="0" fontId="47" fillId="0" borderId="6" xfId="0" applyFont="1" applyBorder="1" applyAlignment="1" applyProtection="1">
      <alignment vertical="top" wrapText="1"/>
    </xf>
    <xf numFmtId="0" fontId="47" fillId="0" borderId="14" xfId="0" applyFont="1" applyBorder="1" applyAlignment="1" applyProtection="1">
      <alignment vertical="top" wrapText="1"/>
    </xf>
    <xf numFmtId="0" fontId="47" fillId="0" borderId="16" xfId="0" applyFont="1" applyBorder="1" applyAlignment="1" applyProtection="1">
      <alignment vertical="top" wrapText="1"/>
    </xf>
    <xf numFmtId="0" fontId="47" fillId="0" borderId="2" xfId="0" applyFont="1" applyBorder="1" applyAlignment="1" applyProtection="1">
      <alignment vertical="top"/>
    </xf>
    <xf numFmtId="0" fontId="47" fillId="0" borderId="3" xfId="0" applyFont="1" applyBorder="1" applyAlignment="1" applyProtection="1">
      <alignment vertical="top"/>
    </xf>
    <xf numFmtId="0" fontId="47" fillId="0" borderId="4" xfId="0" applyFont="1" applyBorder="1" applyAlignment="1" applyProtection="1">
      <alignment vertical="top"/>
    </xf>
    <xf numFmtId="0" fontId="47" fillId="0" borderId="6" xfId="0" applyFont="1" applyBorder="1" applyAlignment="1" applyProtection="1">
      <alignment vertical="top"/>
    </xf>
    <xf numFmtId="0" fontId="47" fillId="0" borderId="14" xfId="0" applyFont="1" applyBorder="1" applyAlignment="1" applyProtection="1">
      <alignment vertical="top"/>
    </xf>
    <xf numFmtId="0" fontId="47" fillId="0" borderId="16" xfId="0" applyFont="1" applyBorder="1" applyAlignment="1" applyProtection="1">
      <alignment vertical="top"/>
    </xf>
    <xf numFmtId="0" fontId="139" fillId="0" borderId="1" xfId="0" applyFont="1" applyBorder="1" applyAlignment="1" applyProtection="1">
      <alignment vertical="top"/>
    </xf>
    <xf numFmtId="0" fontId="139" fillId="0" borderId="2" xfId="0" applyFont="1" applyBorder="1" applyAlignment="1" applyProtection="1">
      <alignment vertical="top"/>
    </xf>
    <xf numFmtId="0" fontId="139" fillId="0" borderId="3" xfId="0" applyFont="1" applyBorder="1" applyAlignment="1" applyProtection="1">
      <alignment vertical="top"/>
    </xf>
    <xf numFmtId="0" fontId="139" fillId="0" borderId="4" xfId="0" applyFont="1" applyBorder="1" applyAlignment="1" applyProtection="1">
      <alignment vertical="top"/>
    </xf>
    <xf numFmtId="0" fontId="139" fillId="0" borderId="6" xfId="0" applyFont="1" applyBorder="1" applyAlignment="1" applyProtection="1">
      <alignment vertical="top"/>
    </xf>
    <xf numFmtId="0" fontId="139" fillId="0" borderId="14" xfId="0" applyFont="1" applyBorder="1" applyAlignment="1" applyProtection="1">
      <alignment vertical="top"/>
    </xf>
    <xf numFmtId="0" fontId="139" fillId="0" borderId="16" xfId="0" applyFont="1" applyBorder="1" applyAlignment="1" applyProtection="1">
      <alignment vertical="top"/>
    </xf>
    <xf numFmtId="0" fontId="139" fillId="0" borderId="1" xfId="0" applyFont="1" applyBorder="1" applyAlignment="1" applyProtection="1">
      <alignment vertical="top" wrapText="1"/>
    </xf>
    <xf numFmtId="0" fontId="139" fillId="0" borderId="2" xfId="0" applyFont="1" applyBorder="1" applyAlignment="1" applyProtection="1">
      <alignment vertical="top" wrapText="1"/>
    </xf>
    <xf numFmtId="0" fontId="139" fillId="0" borderId="3" xfId="0" applyFont="1" applyBorder="1" applyAlignment="1" applyProtection="1">
      <alignment vertical="top" wrapText="1"/>
    </xf>
    <xf numFmtId="0" fontId="139" fillId="0" borderId="4" xfId="0" applyFont="1" applyBorder="1" applyAlignment="1" applyProtection="1">
      <alignment vertical="top" wrapText="1"/>
    </xf>
    <xf numFmtId="0" fontId="139" fillId="0" borderId="6" xfId="0" applyFont="1" applyBorder="1" applyAlignment="1" applyProtection="1">
      <alignment vertical="top" wrapText="1"/>
    </xf>
    <xf numFmtId="0" fontId="139" fillId="0" borderId="14" xfId="0" applyFont="1" applyBorder="1" applyAlignment="1" applyProtection="1">
      <alignment vertical="top" wrapText="1"/>
    </xf>
    <xf numFmtId="0" fontId="139" fillId="0" borderId="16" xfId="0" applyFont="1" applyBorder="1" applyAlignment="1" applyProtection="1">
      <alignment vertical="top" wrapText="1"/>
    </xf>
    <xf numFmtId="0" fontId="20" fillId="2" borderId="0" xfId="0" applyFont="1" applyFill="1" applyBorder="1" applyAlignment="1" applyProtection="1">
      <alignment horizontal="left" vertical="top"/>
    </xf>
    <xf numFmtId="0" fontId="137" fillId="0" borderId="7" xfId="0" applyFont="1" applyBorder="1" applyAlignment="1">
      <alignment wrapText="1"/>
    </xf>
    <xf numFmtId="0" fontId="34" fillId="0" borderId="8" xfId="0" applyFont="1" applyBorder="1" applyAlignment="1">
      <alignment vertical="top" wrapText="1"/>
    </xf>
    <xf numFmtId="0" fontId="137" fillId="0" borderId="7" xfId="0" applyFont="1" applyFill="1" applyBorder="1" applyAlignment="1">
      <alignment wrapText="1"/>
    </xf>
    <xf numFmtId="0" fontId="137" fillId="0" borderId="8" xfId="0" applyFont="1" applyFill="1" applyBorder="1" applyAlignment="1">
      <alignment wrapText="1"/>
    </xf>
    <xf numFmtId="0" fontId="99" fillId="2" borderId="0" xfId="0" applyFont="1" applyFill="1" applyAlignment="1">
      <alignment vertical="center" wrapText="1"/>
    </xf>
    <xf numFmtId="0" fontId="29" fillId="2" borderId="0" xfId="0" applyFont="1" applyFill="1" applyAlignment="1">
      <alignment vertical="center" wrapText="1"/>
    </xf>
    <xf numFmtId="0" fontId="0" fillId="2" borderId="0" xfId="0" applyFill="1"/>
    <xf numFmtId="49" fontId="55" fillId="2" borderId="0" xfId="0" applyNumberFormat="1" applyFont="1" applyFill="1" applyBorder="1" applyAlignment="1" applyProtection="1"/>
    <xf numFmtId="0" fontId="109" fillId="2" borderId="0" xfId="0" applyNumberFormat="1" applyFont="1" applyFill="1" applyBorder="1" applyAlignment="1" applyProtection="1">
      <alignment horizontal="left"/>
    </xf>
    <xf numFmtId="49" fontId="55" fillId="26" borderId="0" xfId="0" applyNumberFormat="1" applyFont="1" applyFill="1" applyBorder="1" applyAlignment="1" applyProtection="1"/>
    <xf numFmtId="0" fontId="58" fillId="26" borderId="0" xfId="0" applyNumberFormat="1" applyFont="1" applyFill="1" applyBorder="1" applyAlignment="1" applyProtection="1">
      <alignment horizontal="left"/>
    </xf>
    <xf numFmtId="0" fontId="109" fillId="26" borderId="0" xfId="0" applyNumberFormat="1" applyFont="1" applyFill="1" applyBorder="1" applyAlignment="1" applyProtection="1">
      <alignment horizontal="left"/>
    </xf>
    <xf numFmtId="0" fontId="58" fillId="26" borderId="0" xfId="0" applyFont="1" applyFill="1" applyBorder="1" applyAlignment="1" applyProtection="1"/>
    <xf numFmtId="0" fontId="109" fillId="26" borderId="0" xfId="0" applyFont="1" applyFill="1" applyBorder="1" applyAlignment="1" applyProtection="1"/>
    <xf numFmtId="0" fontId="109" fillId="2" borderId="0" xfId="0" applyFont="1" applyFill="1" applyBorder="1" applyAlignment="1" applyProtection="1"/>
    <xf numFmtId="0" fontId="58" fillId="2" borderId="0" xfId="0" applyFont="1" applyFill="1" applyBorder="1" applyAlignment="1" applyProtection="1"/>
    <xf numFmtId="49" fontId="5" fillId="26" borderId="0" xfId="0" applyNumberFormat="1" applyFont="1" applyFill="1" applyBorder="1" applyAlignment="1" applyProtection="1">
      <alignment horizontal="left" vertical="top" wrapText="1"/>
    </xf>
    <xf numFmtId="49" fontId="17" fillId="2" borderId="0" xfId="0" applyNumberFormat="1" applyFont="1" applyFill="1" applyBorder="1" applyAlignment="1" applyProtection="1">
      <alignment horizontal="left" vertical="top" wrapText="1"/>
    </xf>
    <xf numFmtId="0" fontId="14" fillId="5" borderId="8" xfId="0" applyFont="1" applyFill="1" applyBorder="1" applyAlignment="1" applyProtection="1">
      <alignment horizontal="left" vertical="top"/>
    </xf>
    <xf numFmtId="0" fontId="14" fillId="5" borderId="107" xfId="0" applyFont="1" applyFill="1" applyBorder="1" applyAlignment="1" applyProtection="1">
      <alignment horizontal="left" vertical="top"/>
    </xf>
    <xf numFmtId="9" fontId="58" fillId="2" borderId="0" xfId="0" applyNumberFormat="1" applyFont="1" applyFill="1" applyBorder="1" applyAlignment="1" applyProtection="1">
      <alignment horizontal="left"/>
    </xf>
    <xf numFmtId="0" fontId="55" fillId="2" borderId="0" xfId="0" applyFont="1" applyFill="1" applyBorder="1" applyAlignment="1" applyProtection="1"/>
    <xf numFmtId="0" fontId="58" fillId="26" borderId="0" xfId="0" applyNumberFormat="1" applyFont="1" applyFill="1" applyBorder="1" applyAlignment="1" applyProtection="1">
      <alignment horizontal="center"/>
    </xf>
    <xf numFmtId="0" fontId="109" fillId="26" borderId="0" xfId="0" applyNumberFormat="1" applyFont="1" applyFill="1" applyBorder="1" applyAlignment="1" applyProtection="1">
      <alignment horizontal="center"/>
    </xf>
    <xf numFmtId="9" fontId="58" fillId="2" borderId="0" xfId="0" applyNumberFormat="1" applyFont="1" applyFill="1" applyBorder="1" applyAlignment="1" applyProtection="1">
      <alignment horizontal="center"/>
    </xf>
    <xf numFmtId="0" fontId="109" fillId="2" borderId="0" xfId="0" applyNumberFormat="1" applyFont="1" applyFill="1" applyBorder="1" applyAlignment="1" applyProtection="1">
      <alignment horizontal="center"/>
    </xf>
    <xf numFmtId="0" fontId="58" fillId="0" borderId="0" xfId="0" applyNumberFormat="1" applyFont="1" applyFill="1" applyBorder="1" applyAlignment="1" applyProtection="1">
      <alignment horizontal="center"/>
    </xf>
    <xf numFmtId="1" fontId="109" fillId="0" borderId="0" xfId="0" applyNumberFormat="1" applyFont="1" applyFill="1" applyBorder="1" applyAlignment="1" applyProtection="1">
      <alignment horizontal="center"/>
    </xf>
    <xf numFmtId="0" fontId="58" fillId="0" borderId="0" xfId="0" applyFont="1" applyFill="1" applyBorder="1" applyAlignment="1" applyProtection="1">
      <alignment horizontal="center"/>
    </xf>
    <xf numFmtId="0" fontId="55" fillId="0" borderId="0" xfId="0" applyNumberFormat="1" applyFont="1" applyFill="1" applyBorder="1" applyAlignment="1" applyProtection="1">
      <alignment horizontal="center"/>
    </xf>
    <xf numFmtId="0" fontId="109" fillId="0" borderId="0" xfId="0" applyNumberFormat="1" applyFont="1" applyFill="1" applyBorder="1" applyAlignment="1" applyProtection="1">
      <alignment horizontal="center"/>
    </xf>
    <xf numFmtId="0" fontId="52" fillId="0" borderId="0" xfId="0" applyFont="1" applyFill="1" applyBorder="1" applyAlignment="1" applyProtection="1">
      <alignment horizontal="left" vertical="center" wrapText="1"/>
    </xf>
    <xf numFmtId="0" fontId="42" fillId="2" borderId="0" xfId="0" applyFont="1" applyFill="1" applyAlignment="1">
      <alignment horizontal="center" vertical="top"/>
    </xf>
    <xf numFmtId="0" fontId="58" fillId="0" borderId="0" xfId="0" applyFont="1" applyFill="1" applyBorder="1" applyAlignment="1" applyProtection="1">
      <alignment vertical="center" wrapText="1"/>
    </xf>
    <xf numFmtId="0" fontId="38" fillId="16" borderId="17" xfId="0" applyFont="1" applyFill="1" applyBorder="1" applyAlignment="1">
      <alignment horizontal="left" vertical="top" wrapText="1"/>
    </xf>
    <xf numFmtId="0" fontId="38" fillId="16" borderId="17" xfId="0" applyFont="1" applyFill="1" applyBorder="1" applyAlignment="1">
      <alignment vertical="top" wrapText="1"/>
    </xf>
    <xf numFmtId="0" fontId="38" fillId="16" borderId="17" xfId="2" applyFont="1" applyFill="1" applyBorder="1" applyAlignment="1">
      <alignment vertical="top" wrapText="1"/>
    </xf>
    <xf numFmtId="0" fontId="67" fillId="16" borderId="17" xfId="0" applyFont="1" applyFill="1" applyBorder="1" applyAlignment="1">
      <alignment horizontal="left" vertical="top" wrapText="1"/>
    </xf>
    <xf numFmtId="0" fontId="67" fillId="16" borderId="17" xfId="0" applyFont="1" applyFill="1" applyBorder="1" applyAlignment="1">
      <alignment vertical="top" wrapText="1"/>
    </xf>
    <xf numFmtId="0" fontId="67" fillId="16" borderId="17" xfId="2" applyFont="1" applyFill="1" applyBorder="1" applyAlignment="1">
      <alignment vertical="top" wrapText="1"/>
    </xf>
    <xf numFmtId="0" fontId="67" fillId="16" borderId="17" xfId="0" applyFont="1" applyFill="1" applyBorder="1" applyAlignment="1">
      <alignment wrapText="1"/>
    </xf>
    <xf numFmtId="0" fontId="38" fillId="16" borderId="17" xfId="0" applyFont="1" applyFill="1" applyBorder="1" applyAlignment="1">
      <alignment wrapText="1"/>
    </xf>
    <xf numFmtId="0" fontId="67" fillId="16" borderId="17" xfId="0" applyFont="1" applyFill="1" applyBorder="1"/>
    <xf numFmtId="0" fontId="38" fillId="16" borderId="17" xfId="0" applyFont="1" applyFill="1" applyBorder="1"/>
    <xf numFmtId="0" fontId="38" fillId="16" borderId="0" xfId="0" applyFont="1" applyFill="1" applyBorder="1" applyAlignment="1">
      <alignment vertical="top" wrapText="1"/>
    </xf>
    <xf numFmtId="0" fontId="67" fillId="16" borderId="0" xfId="0" applyFont="1" applyFill="1" applyBorder="1" applyAlignment="1">
      <alignment vertical="top" wrapText="1"/>
    </xf>
    <xf numFmtId="0" fontId="38" fillId="16" borderId="0" xfId="0" applyFont="1" applyFill="1" applyBorder="1" applyAlignment="1">
      <alignment wrapText="1"/>
    </xf>
    <xf numFmtId="0" fontId="67" fillId="16" borderId="0" xfId="0" applyFont="1" applyFill="1" applyBorder="1" applyAlignment="1">
      <alignment wrapText="1"/>
    </xf>
    <xf numFmtId="0" fontId="67" fillId="16" borderId="0" xfId="0" applyFont="1" applyFill="1" applyBorder="1" applyAlignment="1">
      <alignment horizontal="left" vertical="top" wrapText="1"/>
    </xf>
    <xf numFmtId="0" fontId="67" fillId="16" borderId="0" xfId="2" applyFont="1" applyFill="1" applyBorder="1" applyAlignment="1">
      <alignment vertical="top" wrapText="1"/>
    </xf>
    <xf numFmtId="0" fontId="42" fillId="16" borderId="17" xfId="0" applyFont="1" applyFill="1" applyBorder="1" applyProtection="1"/>
    <xf numFmtId="0" fontId="0" fillId="2" borderId="0" xfId="0" applyFill="1" applyProtection="1"/>
    <xf numFmtId="0" fontId="42" fillId="2" borderId="0" xfId="0" applyFont="1" applyFill="1" applyAlignment="1" applyProtection="1">
      <alignment horizontal="center" vertical="center"/>
    </xf>
    <xf numFmtId="0" fontId="42" fillId="2" borderId="0" xfId="0" applyFont="1" applyFill="1" applyAlignment="1" applyProtection="1">
      <alignment horizontal="center"/>
    </xf>
    <xf numFmtId="0" fontId="141" fillId="16" borderId="17" xfId="0" applyFont="1" applyFill="1" applyBorder="1" applyAlignment="1" applyProtection="1">
      <alignment vertical="center"/>
    </xf>
    <xf numFmtId="0" fontId="140" fillId="16" borderId="17" xfId="0" applyFont="1" applyFill="1" applyBorder="1" applyAlignment="1" applyProtection="1">
      <alignment horizontal="left" vertical="top" wrapText="1"/>
    </xf>
    <xf numFmtId="0" fontId="42" fillId="16" borderId="17" xfId="0" applyFont="1" applyFill="1" applyBorder="1" applyAlignment="1" applyProtection="1">
      <alignment horizontal="center" vertical="center" wrapText="1"/>
    </xf>
    <xf numFmtId="0" fontId="0" fillId="16" borderId="17" xfId="0" applyFill="1" applyBorder="1" applyAlignment="1" applyProtection="1">
      <alignment vertical="top" wrapText="1"/>
      <protection locked="0"/>
    </xf>
    <xf numFmtId="0" fontId="52" fillId="0" borderId="17" xfId="0" applyFont="1" applyFill="1" applyBorder="1" applyAlignment="1" applyProtection="1">
      <alignment horizontal="center" vertical="center" wrapText="1"/>
    </xf>
    <xf numFmtId="0" fontId="65" fillId="0" borderId="65" xfId="0" applyFont="1" applyFill="1" applyBorder="1" applyAlignment="1" applyProtection="1">
      <alignment horizontal="left" vertical="center" wrapText="1"/>
    </xf>
    <xf numFmtId="0" fontId="65" fillId="0" borderId="63" xfId="0" applyFont="1" applyFill="1" applyBorder="1" applyAlignment="1" applyProtection="1">
      <alignment vertical="center" wrapText="1"/>
    </xf>
    <xf numFmtId="0" fontId="65" fillId="0" borderId="64" xfId="0" applyFont="1" applyFill="1" applyBorder="1" applyAlignment="1" applyProtection="1">
      <alignment vertical="center" wrapText="1"/>
    </xf>
    <xf numFmtId="0" fontId="65" fillId="0" borderId="66" xfId="0" applyFont="1" applyFill="1" applyBorder="1" applyAlignment="1" applyProtection="1">
      <alignment horizontal="left" vertical="center" wrapText="1"/>
    </xf>
    <xf numFmtId="0" fontId="65" fillId="0" borderId="25" xfId="0" applyFont="1" applyFill="1" applyBorder="1" applyAlignment="1" applyProtection="1">
      <alignment vertical="center" wrapText="1"/>
    </xf>
    <xf numFmtId="0" fontId="65" fillId="0" borderId="58" xfId="0" applyFont="1" applyFill="1" applyBorder="1" applyAlignment="1" applyProtection="1">
      <alignment vertical="center" wrapText="1"/>
    </xf>
    <xf numFmtId="0" fontId="65" fillId="0" borderId="68" xfId="0" applyFont="1" applyFill="1" applyBorder="1" applyAlignment="1" applyProtection="1">
      <alignment horizontal="left" vertical="center" wrapText="1"/>
    </xf>
    <xf numFmtId="0" fontId="65" fillId="0" borderId="21" xfId="0" applyFont="1" applyFill="1" applyBorder="1" applyAlignment="1" applyProtection="1">
      <alignment vertical="center" wrapText="1"/>
    </xf>
    <xf numFmtId="0" fontId="65" fillId="0" borderId="59" xfId="0" applyFont="1" applyFill="1" applyBorder="1" applyAlignment="1" applyProtection="1">
      <alignment vertical="center" wrapText="1"/>
    </xf>
    <xf numFmtId="0" fontId="65" fillId="0" borderId="21" xfId="0" applyFont="1" applyBorder="1" applyAlignment="1" applyProtection="1">
      <alignment vertical="center" wrapText="1"/>
    </xf>
    <xf numFmtId="0" fontId="65" fillId="0" borderId="59" xfId="0" applyFont="1" applyBorder="1" applyAlignment="1" applyProtection="1">
      <alignment vertical="center" wrapText="1"/>
    </xf>
    <xf numFmtId="0" fontId="65" fillId="0" borderId="67" xfId="0" applyFont="1" applyFill="1" applyBorder="1" applyAlignment="1" applyProtection="1">
      <alignment horizontal="left" vertical="center" wrapText="1"/>
    </xf>
    <xf numFmtId="0" fontId="65" fillId="0" borderId="56" xfId="0" applyFont="1" applyBorder="1" applyAlignment="1" applyProtection="1">
      <alignment vertical="center" wrapText="1"/>
    </xf>
    <xf numFmtId="0" fontId="65" fillId="0" borderId="61" xfId="0" applyFont="1" applyBorder="1" applyAlignment="1" applyProtection="1">
      <alignment vertical="center" wrapText="1"/>
    </xf>
    <xf numFmtId="0" fontId="65" fillId="0" borderId="63" xfId="0" applyFont="1" applyBorder="1" applyAlignment="1" applyProtection="1">
      <alignment vertical="center" wrapText="1"/>
    </xf>
    <xf numFmtId="0" fontId="65" fillId="0" borderId="64" xfId="0" applyFont="1" applyBorder="1" applyAlignment="1" applyProtection="1">
      <alignment vertical="center" wrapText="1"/>
    </xf>
    <xf numFmtId="0" fontId="65" fillId="0" borderId="25" xfId="0" applyFont="1" applyBorder="1" applyAlignment="1" applyProtection="1">
      <alignment vertical="center" wrapText="1"/>
    </xf>
    <xf numFmtId="0" fontId="65" fillId="0" borderId="58" xfId="0" applyFont="1" applyBorder="1" applyAlignment="1" applyProtection="1">
      <alignment vertical="center" wrapText="1"/>
    </xf>
    <xf numFmtId="0" fontId="50" fillId="0" borderId="5" xfId="0" applyFont="1" applyFill="1" applyBorder="1" applyAlignment="1" applyProtection="1">
      <alignment horizontal="left" vertical="center" wrapText="1"/>
      <protection locked="0"/>
    </xf>
    <xf numFmtId="0" fontId="50" fillId="0" borderId="5" xfId="0" applyFont="1" applyFill="1" applyBorder="1" applyAlignment="1" applyProtection="1">
      <alignment horizontal="center" vertical="center"/>
      <protection locked="0"/>
    </xf>
    <xf numFmtId="0" fontId="15" fillId="0" borderId="33" xfId="0" applyFont="1" applyFill="1" applyBorder="1" applyAlignment="1" applyProtection="1">
      <protection locked="0"/>
    </xf>
    <xf numFmtId="0" fontId="15" fillId="0" borderId="26" xfId="0" applyFont="1" applyFill="1" applyBorder="1" applyAlignment="1" applyProtection="1">
      <protection locked="0"/>
    </xf>
    <xf numFmtId="0" fontId="50" fillId="0" borderId="15" xfId="0" applyFont="1" applyFill="1" applyBorder="1" applyAlignment="1" applyProtection="1">
      <alignment horizontal="left" vertical="center" wrapText="1"/>
      <protection locked="0"/>
    </xf>
    <xf numFmtId="0" fontId="50" fillId="0" borderId="15" xfId="0" applyFont="1" applyFill="1" applyBorder="1" applyAlignment="1" applyProtection="1">
      <alignment horizontal="left" vertical="center"/>
      <protection locked="0"/>
    </xf>
    <xf numFmtId="0" fontId="50" fillId="0" borderId="19" xfId="0" applyFont="1" applyFill="1" applyBorder="1" applyAlignment="1" applyProtection="1">
      <alignment horizontal="left" vertical="center"/>
      <protection locked="0"/>
    </xf>
    <xf numFmtId="0" fontId="65" fillId="0" borderId="63" xfId="0" applyFont="1" applyFill="1" applyBorder="1" applyAlignment="1" applyProtection="1">
      <alignment horizontal="left" vertical="center" wrapText="1"/>
    </xf>
    <xf numFmtId="0" fontId="65" fillId="0" borderId="64" xfId="0" applyFont="1" applyFill="1" applyBorder="1" applyAlignment="1" applyProtection="1">
      <alignment horizontal="left" vertical="center" wrapText="1"/>
    </xf>
    <xf numFmtId="0" fontId="65" fillId="0" borderId="88" xfId="0" applyFont="1" applyFill="1" applyBorder="1" applyAlignment="1" applyProtection="1">
      <alignment horizontal="left" vertical="center" wrapText="1"/>
    </xf>
    <xf numFmtId="0" fontId="65" fillId="0" borderId="21" xfId="0" applyFont="1" applyFill="1" applyBorder="1" applyAlignment="1" applyProtection="1">
      <alignment horizontal="left" vertical="center" wrapText="1"/>
    </xf>
    <xf numFmtId="0" fontId="65" fillId="0" borderId="59" xfId="0" applyFont="1" applyFill="1" applyBorder="1" applyAlignment="1" applyProtection="1">
      <alignment horizontal="left" vertical="center" wrapText="1"/>
    </xf>
    <xf numFmtId="0" fontId="65" fillId="0" borderId="21" xfId="0" applyFont="1" applyBorder="1" applyAlignment="1" applyProtection="1">
      <alignment horizontal="left" vertical="center" wrapText="1"/>
    </xf>
    <xf numFmtId="0" fontId="65" fillId="0" borderId="59" xfId="0" applyFont="1" applyBorder="1" applyAlignment="1" applyProtection="1">
      <alignment horizontal="left" vertical="center" wrapText="1"/>
    </xf>
    <xf numFmtId="0" fontId="65" fillId="0" borderId="92" xfId="0" applyFont="1" applyFill="1" applyBorder="1" applyAlignment="1" applyProtection="1">
      <alignment horizontal="left" vertical="center" wrapText="1"/>
    </xf>
    <xf numFmtId="0" fontId="65" fillId="0" borderId="24" xfId="0" applyFont="1" applyBorder="1" applyAlignment="1" applyProtection="1">
      <alignment horizontal="left" vertical="center" wrapText="1"/>
    </xf>
    <xf numFmtId="0" fontId="65" fillId="0" borderId="82" xfId="0" applyFont="1" applyBorder="1" applyAlignment="1" applyProtection="1">
      <alignment horizontal="left" vertical="center" wrapText="1"/>
    </xf>
    <xf numFmtId="0" fontId="65" fillId="0" borderId="25" xfId="0" applyFont="1" applyBorder="1" applyAlignment="1" applyProtection="1">
      <alignment horizontal="left" vertical="center" wrapText="1"/>
    </xf>
    <xf numFmtId="0" fontId="65" fillId="0" borderId="58" xfId="0" applyFont="1" applyBorder="1" applyAlignment="1" applyProtection="1">
      <alignment horizontal="left" vertical="center" wrapText="1"/>
    </xf>
    <xf numFmtId="0" fontId="65" fillId="0" borderId="56" xfId="0" applyFont="1" applyBorder="1" applyAlignment="1" applyProtection="1">
      <alignment horizontal="left" vertical="center" wrapText="1"/>
    </xf>
    <xf numFmtId="0" fontId="65" fillId="0" borderId="61" xfId="0" applyFont="1" applyBorder="1" applyAlignment="1" applyProtection="1">
      <alignment horizontal="left" vertical="center" wrapText="1"/>
    </xf>
    <xf numFmtId="0" fontId="65" fillId="0" borderId="63" xfId="0" applyFont="1" applyBorder="1" applyAlignment="1" applyProtection="1">
      <alignment horizontal="left" vertical="center" wrapText="1"/>
    </xf>
    <xf numFmtId="0" fontId="65" fillId="0" borderId="64" xfId="0" applyFont="1" applyBorder="1" applyAlignment="1" applyProtection="1">
      <alignment horizontal="left" vertical="center" wrapText="1"/>
    </xf>
    <xf numFmtId="0" fontId="65" fillId="0" borderId="15"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15" fillId="0" borderId="26" xfId="0" applyFont="1" applyFill="1" applyBorder="1" applyAlignment="1" applyProtection="1">
      <alignment horizontal="left"/>
      <protection locked="0"/>
    </xf>
    <xf numFmtId="0" fontId="59" fillId="0" borderId="15" xfId="0" applyFont="1" applyFill="1" applyBorder="1" applyAlignment="1" applyProtection="1">
      <alignment horizontal="center" vertical="center" wrapText="1"/>
      <protection locked="0"/>
    </xf>
    <xf numFmtId="0" fontId="65" fillId="0" borderId="25" xfId="0" applyFont="1" applyFill="1" applyBorder="1" applyAlignment="1" applyProtection="1">
      <alignment horizontal="left" vertical="center" wrapText="1"/>
    </xf>
    <xf numFmtId="0" fontId="65" fillId="0" borderId="58" xfId="0" applyFont="1" applyFill="1" applyBorder="1" applyAlignment="1" applyProtection="1">
      <alignment horizontal="left" vertical="center" wrapText="1"/>
    </xf>
    <xf numFmtId="0" fontId="65" fillId="0" borderId="56" xfId="0" applyFont="1" applyFill="1" applyBorder="1" applyAlignment="1" applyProtection="1">
      <alignment horizontal="left" vertical="center" wrapText="1"/>
    </xf>
    <xf numFmtId="0" fontId="65" fillId="0" borderId="61" xfId="0" applyFont="1" applyFill="1" applyBorder="1" applyAlignment="1" applyProtection="1">
      <alignment horizontal="left" vertical="center" wrapText="1"/>
    </xf>
    <xf numFmtId="0" fontId="52" fillId="0" borderId="25" xfId="0" applyFont="1" applyFill="1" applyBorder="1" applyAlignment="1" applyProtection="1">
      <alignment horizontal="left" vertical="center" wrapText="1"/>
    </xf>
    <xf numFmtId="0" fontId="65" fillId="0" borderId="87" xfId="0" applyFont="1" applyFill="1" applyBorder="1" applyAlignment="1" applyProtection="1">
      <alignment horizontal="left" vertical="center" wrapText="1"/>
    </xf>
    <xf numFmtId="0" fontId="65" fillId="0" borderId="77" xfId="0" applyFont="1" applyFill="1" applyBorder="1" applyAlignment="1" applyProtection="1">
      <alignment horizontal="left" vertical="center" wrapText="1"/>
    </xf>
    <xf numFmtId="0" fontId="65" fillId="0" borderId="78" xfId="0" applyFont="1" applyFill="1" applyBorder="1" applyAlignment="1" applyProtection="1">
      <alignment horizontal="left" vertical="center" wrapText="1"/>
    </xf>
    <xf numFmtId="0" fontId="46" fillId="0" borderId="15" xfId="0" applyFont="1" applyFill="1" applyBorder="1" applyAlignment="1" applyProtection="1">
      <alignment horizontal="left" vertical="center" wrapText="1"/>
      <protection locked="0"/>
    </xf>
    <xf numFmtId="0" fontId="46" fillId="0" borderId="15" xfId="0" applyFont="1" applyFill="1" applyBorder="1" applyAlignment="1" applyProtection="1">
      <alignment horizontal="left" vertical="center"/>
      <protection locked="0"/>
    </xf>
    <xf numFmtId="0" fontId="46" fillId="0" borderId="19" xfId="0" applyFont="1" applyFill="1" applyBorder="1" applyAlignment="1" applyProtection="1">
      <alignment horizontal="left" vertical="center"/>
      <protection locked="0"/>
    </xf>
    <xf numFmtId="0" fontId="50" fillId="0" borderId="69" xfId="0" applyFont="1" applyFill="1" applyBorder="1" applyAlignment="1" applyProtection="1">
      <alignment horizontal="left" vertical="center" wrapText="1"/>
      <protection locked="0"/>
    </xf>
    <xf numFmtId="0" fontId="50" fillId="0" borderId="70" xfId="0" applyFont="1" applyFill="1" applyBorder="1" applyAlignment="1" applyProtection="1">
      <alignment horizontal="left" vertical="center"/>
      <protection locked="0"/>
    </xf>
    <xf numFmtId="0" fontId="50" fillId="0" borderId="63" xfId="0" applyFont="1" applyFill="1" applyBorder="1" applyAlignment="1" applyProtection="1">
      <alignment horizontal="left" vertical="center"/>
      <protection locked="0"/>
    </xf>
    <xf numFmtId="0" fontId="50" fillId="0" borderId="64" xfId="0" applyFont="1" applyFill="1" applyBorder="1" applyAlignment="1" applyProtection="1">
      <alignment horizontal="left" vertical="center"/>
      <protection locked="0"/>
    </xf>
    <xf numFmtId="0" fontId="65" fillId="0" borderId="89" xfId="0" applyFont="1" applyFill="1" applyBorder="1" applyAlignment="1" applyProtection="1">
      <alignment horizontal="left" vertical="center" wrapText="1"/>
    </xf>
    <xf numFmtId="0" fontId="65" fillId="0" borderId="22" xfId="0" applyFont="1" applyBorder="1" applyAlignment="1" applyProtection="1">
      <alignment horizontal="left" vertical="center" wrapText="1"/>
    </xf>
    <xf numFmtId="0" fontId="65" fillId="0" borderId="80" xfId="0" applyFont="1" applyBorder="1" applyAlignment="1" applyProtection="1">
      <alignment horizontal="left" vertical="center" wrapText="1"/>
    </xf>
    <xf numFmtId="0" fontId="65" fillId="0" borderId="84" xfId="0" applyFont="1" applyFill="1" applyBorder="1" applyAlignment="1" applyProtection="1">
      <alignment horizontal="left" vertical="center" wrapText="1"/>
    </xf>
    <xf numFmtId="0" fontId="65" fillId="0" borderId="72" xfId="0" applyFont="1" applyBorder="1" applyAlignment="1" applyProtection="1">
      <alignment horizontal="left" vertical="center" wrapText="1"/>
    </xf>
    <xf numFmtId="0" fontId="65" fillId="0" borderId="85" xfId="0" applyFont="1" applyFill="1" applyBorder="1" applyAlignment="1" applyProtection="1">
      <alignment horizontal="left" vertical="center" wrapText="1"/>
    </xf>
    <xf numFmtId="0" fontId="65" fillId="0" borderId="74" xfId="0" applyFont="1" applyBorder="1" applyAlignment="1" applyProtection="1">
      <alignment horizontal="left" vertical="center" wrapText="1"/>
    </xf>
    <xf numFmtId="0" fontId="65" fillId="0" borderId="86" xfId="0" applyFont="1" applyFill="1" applyBorder="1" applyAlignment="1" applyProtection="1">
      <alignment horizontal="left" vertical="center" wrapText="1"/>
    </xf>
    <xf numFmtId="0" fontId="65" fillId="0" borderId="76" xfId="0" applyFont="1" applyBorder="1" applyAlignment="1" applyProtection="1">
      <alignment horizontal="left" vertical="center" wrapText="1"/>
    </xf>
    <xf numFmtId="0" fontId="65" fillId="0" borderId="45" xfId="0" applyFont="1" applyFill="1" applyBorder="1" applyAlignment="1" applyProtection="1">
      <alignment horizontal="center" vertical="center" wrapText="1"/>
    </xf>
    <xf numFmtId="0" fontId="65" fillId="0" borderId="11" xfId="0" applyFont="1" applyFill="1" applyBorder="1" applyAlignment="1" applyProtection="1">
      <alignment horizontal="center" vertical="center" wrapText="1"/>
    </xf>
    <xf numFmtId="0" fontId="65" fillId="0" borderId="47" xfId="0" applyFont="1" applyFill="1" applyBorder="1" applyAlignment="1" applyProtection="1">
      <alignment horizontal="center" vertical="center" wrapText="1"/>
    </xf>
    <xf numFmtId="0" fontId="65" fillId="0" borderId="18" xfId="0" applyFont="1" applyFill="1" applyBorder="1" applyAlignment="1" applyProtection="1">
      <alignment horizontal="center" vertical="center" wrapText="1"/>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37" fillId="0" borderId="7" xfId="0" applyFont="1" applyBorder="1" applyAlignment="1" applyProtection="1">
      <alignment wrapText="1"/>
      <protection locked="0"/>
    </xf>
    <xf numFmtId="0" fontId="34" fillId="0" borderId="8" xfId="0" applyFont="1" applyBorder="1" applyAlignment="1" applyProtection="1">
      <alignment vertical="top" wrapText="1"/>
      <protection locked="0"/>
    </xf>
    <xf numFmtId="0" fontId="80" fillId="0" borderId="0" xfId="0" applyFont="1" applyFill="1" applyAlignment="1">
      <alignment wrapText="1"/>
    </xf>
    <xf numFmtId="0" fontId="42" fillId="0" borderId="0" xfId="0" applyFont="1" applyFill="1" applyAlignment="1">
      <alignment wrapText="1"/>
    </xf>
    <xf numFmtId="0" fontId="44"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Fill="1" applyBorder="1" applyAlignment="1">
      <alignment wrapText="1"/>
    </xf>
    <xf numFmtId="0" fontId="0" fillId="0" borderId="106" xfId="0" applyFont="1" applyBorder="1" applyAlignment="1">
      <alignment wrapText="1"/>
    </xf>
    <xf numFmtId="0" fontId="44" fillId="0" borderId="0" xfId="0" applyFont="1" applyFill="1" applyBorder="1" applyAlignment="1">
      <alignment horizontal="left" vertical="top" wrapText="1"/>
    </xf>
    <xf numFmtId="0" fontId="11" fillId="9" borderId="0" xfId="0" applyFont="1" applyFill="1" applyAlignment="1">
      <alignment horizontal="center"/>
    </xf>
    <xf numFmtId="0" fontId="11" fillId="8" borderId="0" xfId="0" applyFont="1" applyFill="1" applyAlignment="1">
      <alignment horizontal="center"/>
    </xf>
    <xf numFmtId="0" fontId="13" fillId="8" borderId="0" xfId="0" applyFont="1" applyFill="1" applyAlignment="1">
      <alignment horizontal="center" wrapText="1"/>
    </xf>
    <xf numFmtId="0" fontId="13" fillId="8" borderId="0" xfId="0" applyFont="1" applyFill="1" applyAlignment="1">
      <alignment horizontal="center" vertical="top" wrapText="1"/>
    </xf>
    <xf numFmtId="0" fontId="95" fillId="5" borderId="28" xfId="0" applyFont="1" applyFill="1" applyBorder="1" applyAlignment="1">
      <alignment horizontal="left" vertical="center" textRotation="90"/>
    </xf>
    <xf numFmtId="0" fontId="95" fillId="5" borderId="28" xfId="0" applyFont="1" applyFill="1" applyBorder="1" applyAlignment="1">
      <alignment horizontal="center" vertical="center" textRotation="90"/>
    </xf>
    <xf numFmtId="0" fontId="11" fillId="0" borderId="109" xfId="0" applyFont="1" applyFill="1" applyBorder="1"/>
    <xf numFmtId="0" fontId="13" fillId="0" borderId="109" xfId="0" applyFont="1" applyFill="1" applyBorder="1" applyAlignment="1">
      <alignment wrapText="1"/>
    </xf>
    <xf numFmtId="0" fontId="13" fillId="0" borderId="109" xfId="0" applyFont="1" applyFill="1" applyBorder="1" applyAlignment="1">
      <alignment horizontal="center" vertical="center" wrapText="1"/>
    </xf>
    <xf numFmtId="0" fontId="13" fillId="0" borderId="109" xfId="0" applyFont="1" applyFill="1" applyBorder="1" applyAlignment="1">
      <alignment horizontal="center" wrapText="1"/>
    </xf>
    <xf numFmtId="0" fontId="11" fillId="0" borderId="110" xfId="0" applyFont="1" applyFill="1" applyBorder="1"/>
    <xf numFmtId="0" fontId="13" fillId="0" borderId="110" xfId="0" applyFont="1" applyFill="1" applyBorder="1" applyAlignment="1">
      <alignment vertical="top" wrapText="1"/>
    </xf>
    <xf numFmtId="0" fontId="13" fillId="0" borderId="110" xfId="0" applyFont="1" applyFill="1" applyBorder="1" applyAlignment="1">
      <alignment horizontal="center" vertical="center" wrapText="1"/>
    </xf>
    <xf numFmtId="0" fontId="13" fillId="0" borderId="110" xfId="0" applyFont="1" applyFill="1" applyBorder="1" applyAlignment="1">
      <alignment horizontal="center" vertical="top" wrapText="1"/>
    </xf>
    <xf numFmtId="0" fontId="13" fillId="0" borderId="110" xfId="0" applyFont="1" applyFill="1" applyBorder="1" applyAlignment="1">
      <alignment wrapText="1"/>
    </xf>
    <xf numFmtId="0" fontId="11" fillId="0" borderId="110" xfId="0" applyFont="1" applyFill="1" applyBorder="1" applyAlignment="1">
      <alignment horizontal="center"/>
    </xf>
    <xf numFmtId="0" fontId="11" fillId="0" borderId="110" xfId="0" applyFont="1" applyBorder="1"/>
    <xf numFmtId="0" fontId="11" fillId="0" borderId="111" xfId="0" applyFont="1" applyFill="1" applyBorder="1"/>
    <xf numFmtId="0" fontId="11" fillId="0" borderId="111" xfId="0" applyFont="1" applyBorder="1"/>
    <xf numFmtId="0" fontId="13" fillId="0" borderId="111" xfId="0" applyFont="1" applyFill="1" applyBorder="1" applyAlignment="1">
      <alignment horizontal="center" vertical="center" wrapText="1"/>
    </xf>
    <xf numFmtId="0" fontId="13" fillId="0" borderId="111" xfId="0" applyFont="1" applyFill="1" applyBorder="1" applyAlignment="1">
      <alignment wrapText="1"/>
    </xf>
    <xf numFmtId="0" fontId="14" fillId="6" borderId="0" xfId="0" applyFont="1" applyFill="1" applyBorder="1" applyAlignment="1" applyProtection="1">
      <alignment horizontal="left" vertical="center"/>
    </xf>
    <xf numFmtId="0" fontId="14" fillId="6" borderId="0" xfId="0" applyFont="1" applyFill="1" applyBorder="1" applyAlignment="1" applyProtection="1">
      <alignment horizontal="center" vertical="center"/>
    </xf>
    <xf numFmtId="0" fontId="110" fillId="6" borderId="0" xfId="0" applyFont="1" applyFill="1" applyBorder="1" applyAlignment="1" applyProtection="1">
      <alignment horizontal="left" vertical="center"/>
    </xf>
    <xf numFmtId="0" fontId="56" fillId="0" borderId="0" xfId="3" applyFill="1" applyAlignment="1" applyProtection="1">
      <alignment horizontal="left" vertical="center" wrapText="1"/>
    </xf>
    <xf numFmtId="0" fontId="78" fillId="0" borderId="0" xfId="0" applyFont="1" applyFill="1" applyBorder="1" applyAlignment="1" applyProtection="1">
      <alignment horizontal="center" vertical="center" wrapText="1"/>
    </xf>
    <xf numFmtId="49" fontId="131" fillId="0" borderId="0" xfId="0" applyNumberFormat="1" applyFont="1" applyAlignment="1">
      <alignment horizontal="center" vertical="center"/>
    </xf>
    <xf numFmtId="0" fontId="79" fillId="0" borderId="0" xfId="0" applyFont="1" applyFill="1" applyBorder="1" applyAlignment="1" applyProtection="1">
      <alignment horizontal="center" vertical="center" wrapText="1"/>
    </xf>
    <xf numFmtId="0" fontId="50" fillId="16" borderId="112" xfId="0" applyFont="1" applyFill="1" applyBorder="1" applyAlignment="1" applyProtection="1">
      <alignment horizontal="left" vertical="center"/>
    </xf>
    <xf numFmtId="0" fontId="67" fillId="4" borderId="17" xfId="0" applyFont="1" applyFill="1" applyBorder="1" applyAlignment="1">
      <alignment horizontal="left" vertical="top" wrapText="1"/>
    </xf>
    <xf numFmtId="0" fontId="67" fillId="4" borderId="17" xfId="0" applyFont="1" applyFill="1" applyBorder="1" applyAlignment="1">
      <alignment vertical="top" wrapText="1"/>
    </xf>
    <xf numFmtId="0" fontId="67" fillId="4" borderId="17" xfId="2" applyFont="1" applyFill="1" applyBorder="1" applyAlignment="1">
      <alignment vertical="top" wrapText="1"/>
    </xf>
    <xf numFmtId="0" fontId="67" fillId="4" borderId="17" xfId="0" applyFont="1" applyFill="1" applyBorder="1" applyAlignment="1">
      <alignment wrapText="1"/>
    </xf>
    <xf numFmtId="164" fontId="109" fillId="26" borderId="0" xfId="0" applyNumberFormat="1" applyFont="1" applyFill="1" applyBorder="1" applyAlignment="1" applyProtection="1">
      <alignment horizontal="center"/>
    </xf>
    <xf numFmtId="164" fontId="109" fillId="26" borderId="0" xfId="0" applyNumberFormat="1" applyFont="1" applyFill="1" applyBorder="1" applyAlignment="1" applyProtection="1">
      <alignment horizontal="left"/>
    </xf>
    <xf numFmtId="0" fontId="145" fillId="0" borderId="0" xfId="0" applyFont="1" applyFill="1" applyAlignment="1" applyProtection="1">
      <alignment vertical="top" wrapText="1"/>
    </xf>
    <xf numFmtId="0" fontId="146" fillId="0" borderId="17" xfId="0" applyFont="1" applyFill="1" applyBorder="1" applyAlignment="1" applyProtection="1">
      <alignment horizontal="center" vertical="center"/>
      <protection locked="0"/>
    </xf>
    <xf numFmtId="0" fontId="38" fillId="25" borderId="40"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40" fillId="12" borderId="9" xfId="0" applyFont="1" applyFill="1" applyBorder="1" applyAlignment="1" applyProtection="1">
      <alignment horizontal="center" vertical="center" wrapText="1"/>
    </xf>
    <xf numFmtId="0" fontId="40" fillId="12" borderId="8" xfId="0" applyFont="1" applyFill="1" applyBorder="1" applyAlignment="1" applyProtection="1">
      <alignment horizontal="center" vertical="center" wrapText="1"/>
    </xf>
    <xf numFmtId="0" fontId="40" fillId="10" borderId="7" xfId="0" applyFont="1" applyFill="1" applyBorder="1" applyAlignment="1" applyProtection="1">
      <alignment horizontal="center" vertical="center" wrapText="1"/>
    </xf>
    <xf numFmtId="0" fontId="6" fillId="11" borderId="7" xfId="0" applyFont="1" applyFill="1" applyBorder="1" applyAlignment="1" applyProtection="1">
      <alignment horizontal="center" vertical="center" wrapText="1"/>
    </xf>
    <xf numFmtId="0" fontId="6" fillId="11" borderId="8" xfId="0" applyFont="1" applyFill="1" applyBorder="1" applyAlignment="1" applyProtection="1">
      <alignment horizontal="center" vertical="center" wrapText="1"/>
    </xf>
    <xf numFmtId="0" fontId="6" fillId="11" borderId="9" xfId="0" applyFont="1" applyFill="1" applyBorder="1" applyAlignment="1" applyProtection="1">
      <alignment horizontal="center" vertical="center" wrapText="1"/>
    </xf>
    <xf numFmtId="0" fontId="52" fillId="0" borderId="4" xfId="0" applyFont="1" applyBorder="1" applyAlignment="1" applyProtection="1">
      <alignment horizontal="center" vertical="center" wrapText="1"/>
    </xf>
    <xf numFmtId="0" fontId="65" fillId="0" borderId="113" xfId="0" applyFont="1" applyFill="1" applyBorder="1" applyAlignment="1" applyProtection="1">
      <alignment horizontal="left" vertical="center" wrapText="1"/>
      <protection locked="0"/>
    </xf>
    <xf numFmtId="0" fontId="65" fillId="0" borderId="114" xfId="0" applyFont="1" applyBorder="1" applyAlignment="1" applyProtection="1">
      <alignment horizontal="left" vertical="center" wrapText="1"/>
      <protection locked="0"/>
    </xf>
    <xf numFmtId="0" fontId="65" fillId="0" borderId="115" xfId="0" applyFont="1" applyBorder="1" applyAlignment="1" applyProtection="1">
      <alignment horizontal="left" vertical="center" wrapText="1"/>
      <protection locked="0"/>
    </xf>
    <xf numFmtId="0" fontId="65" fillId="0" borderId="114" xfId="0" applyFont="1" applyBorder="1" applyAlignment="1" applyProtection="1">
      <alignment horizontal="left" vertical="center" wrapText="1"/>
    </xf>
    <xf numFmtId="0" fontId="65" fillId="0" borderId="115" xfId="0" applyFont="1" applyBorder="1" applyAlignment="1" applyProtection="1">
      <alignment horizontal="left" vertical="center" wrapText="1"/>
    </xf>
    <xf numFmtId="0" fontId="52" fillId="0" borderId="46" xfId="0" applyFont="1" applyBorder="1" applyAlignment="1" applyProtection="1">
      <alignment horizontal="center" vertical="center" wrapText="1"/>
    </xf>
    <xf numFmtId="0" fontId="59" fillId="0" borderId="4" xfId="0" applyFont="1" applyBorder="1" applyAlignment="1" applyProtection="1">
      <alignment horizontal="center" vertical="center" wrapText="1"/>
    </xf>
    <xf numFmtId="0" fontId="59" fillId="0" borderId="14" xfId="0" applyFont="1" applyFill="1" applyBorder="1" applyAlignment="1" applyProtection="1">
      <alignment horizontal="center" vertical="center" wrapText="1"/>
    </xf>
    <xf numFmtId="0" fontId="65" fillId="0" borderId="93" xfId="0" applyFont="1" applyFill="1" applyBorder="1" applyAlignment="1" applyProtection="1">
      <alignment horizontal="left" vertical="center" wrapText="1"/>
      <protection locked="0"/>
    </xf>
    <xf numFmtId="0" fontId="65" fillId="0" borderId="116" xfId="0" applyFont="1" applyFill="1" applyBorder="1" applyAlignment="1" applyProtection="1">
      <alignment horizontal="left" vertical="center" wrapText="1"/>
      <protection locked="0"/>
    </xf>
    <xf numFmtId="0" fontId="147" fillId="0" borderId="0" xfId="0" applyFont="1" applyAlignment="1">
      <alignment vertical="top" wrapText="1"/>
    </xf>
    <xf numFmtId="0" fontId="147" fillId="0" borderId="0" xfId="0" applyFont="1" applyAlignment="1">
      <alignment wrapText="1"/>
    </xf>
    <xf numFmtId="0" fontId="148" fillId="0" borderId="0" xfId="0" applyFont="1"/>
    <xf numFmtId="0" fontId="11" fillId="0" borderId="0" xfId="0" applyFont="1" applyBorder="1" applyAlignment="1">
      <alignment horizontal="center"/>
    </xf>
    <xf numFmtId="0" fontId="11" fillId="0" borderId="34" xfId="0" applyFont="1" applyBorder="1" applyAlignment="1">
      <alignment horizontal="center"/>
    </xf>
    <xf numFmtId="0" fontId="149" fillId="0" borderId="0" xfId="0" applyNumberFormat="1" applyFont="1" applyFill="1" applyBorder="1" applyAlignment="1" applyProtection="1">
      <alignment horizontal="center"/>
    </xf>
    <xf numFmtId="49" fontId="149" fillId="0" borderId="0" xfId="0" applyNumberFormat="1" applyFont="1" applyFill="1" applyBorder="1" applyAlignment="1" applyProtection="1"/>
    <xf numFmtId="49" fontId="149" fillId="0" borderId="0" xfId="0" applyNumberFormat="1" applyFont="1" applyFill="1" applyAlignment="1" applyProtection="1"/>
    <xf numFmtId="49" fontId="150" fillId="0" borderId="0" xfId="0" applyNumberFormat="1" applyFont="1" applyFill="1" applyBorder="1" applyAlignment="1" applyProtection="1">
      <alignment horizontal="left" vertical="top" wrapText="1"/>
    </xf>
    <xf numFmtId="0" fontId="59" fillId="0" borderId="1" xfId="0" applyFont="1" applyBorder="1" applyAlignment="1" applyProtection="1">
      <alignment horizontal="center" vertical="center" wrapText="1"/>
    </xf>
    <xf numFmtId="0" fontId="65" fillId="0" borderId="77" xfId="0" applyFont="1" applyBorder="1" applyAlignment="1" applyProtection="1">
      <alignment horizontal="left" vertical="center" wrapText="1"/>
      <protection locked="0"/>
    </xf>
    <xf numFmtId="0" fontId="65" fillId="0" borderId="78" xfId="0" applyFont="1" applyBorder="1" applyAlignment="1" applyProtection="1">
      <alignment horizontal="left" vertical="center" wrapText="1"/>
      <protection locked="0"/>
    </xf>
    <xf numFmtId="0" fontId="65" fillId="0" borderId="77" xfId="0" applyFont="1" applyBorder="1" applyAlignment="1" applyProtection="1">
      <alignment horizontal="left" vertical="center" wrapText="1"/>
    </xf>
    <xf numFmtId="0" fontId="65" fillId="0" borderId="78" xfId="0" applyFont="1" applyBorder="1" applyAlignment="1" applyProtection="1">
      <alignment horizontal="left" vertical="center" wrapText="1"/>
    </xf>
    <xf numFmtId="0" fontId="59" fillId="0" borderId="49" xfId="0" applyFont="1" applyBorder="1" applyAlignment="1" applyProtection="1">
      <alignment horizontal="center" vertical="center" wrapText="1"/>
    </xf>
    <xf numFmtId="0" fontId="59" fillId="0" borderId="10" xfId="0" applyFont="1" applyFill="1" applyBorder="1" applyAlignment="1" applyProtection="1">
      <alignment vertical="center" wrapText="1"/>
    </xf>
    <xf numFmtId="0" fontId="65" fillId="0" borderId="22" xfId="0" applyFont="1" applyBorder="1" applyAlignment="1" applyProtection="1">
      <alignment horizontal="left" vertical="center" wrapText="1"/>
      <protection locked="0"/>
    </xf>
    <xf numFmtId="0" fontId="65" fillId="0" borderId="80" xfId="0" applyFont="1" applyBorder="1" applyAlignment="1" applyProtection="1">
      <alignment horizontal="left" vertical="center" wrapText="1"/>
      <protection locked="0"/>
    </xf>
    <xf numFmtId="0" fontId="52" fillId="0" borderId="49" xfId="0" applyFont="1" applyBorder="1" applyAlignment="1" applyProtection="1">
      <alignment horizontal="center" vertical="center" wrapText="1"/>
    </xf>
    <xf numFmtId="0" fontId="40" fillId="0" borderId="4" xfId="0" applyFont="1" applyBorder="1" applyAlignment="1" applyProtection="1">
      <alignment vertical="center" wrapText="1"/>
    </xf>
    <xf numFmtId="0" fontId="59" fillId="0" borderId="5" xfId="0" applyFont="1" applyBorder="1" applyAlignment="1" applyProtection="1">
      <alignment vertical="center" wrapText="1"/>
    </xf>
    <xf numFmtId="0" fontId="52" fillId="0" borderId="14" xfId="0" applyFont="1" applyBorder="1" applyAlignment="1" applyProtection="1">
      <alignment horizontal="center" vertical="center" wrapText="1"/>
    </xf>
    <xf numFmtId="0" fontId="65" fillId="0" borderId="93" xfId="0" applyFont="1" applyBorder="1" applyAlignment="1" applyProtection="1">
      <alignment horizontal="left" vertical="center" wrapText="1"/>
      <protection locked="0"/>
    </xf>
    <xf numFmtId="0" fontId="65" fillId="0" borderId="116" xfId="0" applyFont="1" applyBorder="1" applyAlignment="1" applyProtection="1">
      <alignment horizontal="left" vertical="center" wrapText="1"/>
      <protection locked="0"/>
    </xf>
    <xf numFmtId="0" fontId="65" fillId="0" borderId="93" xfId="0" applyFont="1" applyBorder="1" applyAlignment="1" applyProtection="1">
      <alignment horizontal="left" vertical="center" wrapText="1"/>
    </xf>
    <xf numFmtId="0" fontId="65" fillId="0" borderId="116" xfId="0" applyFont="1" applyBorder="1" applyAlignment="1" applyProtection="1">
      <alignment horizontal="left" vertical="center" wrapText="1"/>
    </xf>
    <xf numFmtId="0" fontId="59" fillId="0" borderId="5" xfId="0" applyFont="1" applyFill="1" applyBorder="1" applyAlignment="1" applyProtection="1">
      <alignment horizontal="center" vertical="center" wrapText="1"/>
    </xf>
    <xf numFmtId="0" fontId="59" fillId="0" borderId="5" xfId="0" applyFont="1" applyFill="1" applyBorder="1" applyAlignment="1" applyProtection="1">
      <alignment vertical="center" wrapText="1"/>
    </xf>
    <xf numFmtId="0" fontId="59" fillId="0" borderId="14" xfId="0" applyFont="1" applyBorder="1" applyAlignment="1" applyProtection="1">
      <alignment horizontal="center" vertical="center" wrapText="1"/>
    </xf>
    <xf numFmtId="0" fontId="38" fillId="2" borderId="17" xfId="0" applyFont="1" applyFill="1" applyBorder="1" applyAlignment="1">
      <alignment vertical="top" wrapText="1"/>
    </xf>
    <xf numFmtId="0" fontId="38" fillId="2" borderId="17" xfId="0" applyFont="1" applyFill="1" applyBorder="1" applyAlignment="1">
      <alignment horizontal="left" vertical="top" wrapText="1"/>
    </xf>
    <xf numFmtId="1" fontId="12" fillId="0" borderId="0" xfId="0" applyNumberFormat="1" applyFont="1" applyAlignment="1">
      <alignment horizontal="center"/>
    </xf>
    <xf numFmtId="0" fontId="67" fillId="16" borderId="8" xfId="0" applyFont="1" applyFill="1" applyBorder="1" applyAlignment="1">
      <alignment vertical="top" wrapText="1"/>
    </xf>
    <xf numFmtId="0" fontId="151" fillId="29" borderId="0" xfId="0" applyFont="1" applyFill="1" applyAlignment="1">
      <alignment horizontal="center" vertical="center"/>
    </xf>
    <xf numFmtId="0" fontId="152" fillId="0" borderId="17" xfId="0" applyFont="1" applyBorder="1" applyAlignment="1">
      <alignment horizontal="left" vertical="center" wrapText="1"/>
    </xf>
    <xf numFmtId="0" fontId="44" fillId="0" borderId="17" xfId="0" applyFont="1" applyBorder="1" applyAlignment="1" applyProtection="1">
      <alignment horizontal="left" vertical="center" wrapText="1"/>
      <protection locked="0"/>
    </xf>
    <xf numFmtId="0" fontId="56" fillId="0" borderId="17" xfId="3" applyFill="1" applyBorder="1" applyAlignment="1">
      <alignment wrapText="1"/>
    </xf>
    <xf numFmtId="0" fontId="44" fillId="0" borderId="17" xfId="4" applyFont="1" applyBorder="1" applyAlignment="1" applyProtection="1">
      <alignment horizontal="left" vertical="center" wrapText="1"/>
      <protection locked="0"/>
    </xf>
    <xf numFmtId="165" fontId="44" fillId="0" borderId="17" xfId="0" applyNumberFormat="1" applyFont="1" applyBorder="1" applyAlignment="1">
      <alignment wrapText="1"/>
    </xf>
    <xf numFmtId="0" fontId="56" fillId="0" borderId="17" xfId="3" applyBorder="1" applyAlignment="1">
      <alignment horizontal="left" vertical="center" wrapText="1"/>
    </xf>
    <xf numFmtId="0" fontId="56" fillId="0" borderId="17" xfId="3" applyBorder="1" applyAlignment="1" applyProtection="1">
      <alignment horizontal="left" vertical="center" wrapText="1"/>
      <protection locked="0"/>
    </xf>
    <xf numFmtId="0" fontId="153" fillId="0" borderId="0" xfId="0" applyFont="1" applyAlignment="1">
      <alignment wrapText="1"/>
    </xf>
    <xf numFmtId="0" fontId="44" fillId="0" borderId="17" xfId="0" applyFont="1" applyBorder="1" applyAlignment="1" applyProtection="1">
      <alignment horizontal="left" vertical="center"/>
      <protection locked="0"/>
    </xf>
    <xf numFmtId="0" fontId="0" fillId="0" borderId="0" xfId="0" applyAlignment="1">
      <alignment vertical="center" wrapText="1"/>
    </xf>
    <xf numFmtId="0" fontId="44" fillId="30" borderId="0" xfId="5" applyFont="1" applyFill="1" applyAlignment="1">
      <alignment horizontal="left" vertical="top" wrapText="1"/>
    </xf>
    <xf numFmtId="0" fontId="44" fillId="31" borderId="0" xfId="5" applyFont="1" applyFill="1" applyAlignment="1">
      <alignment horizontal="left" vertical="top" wrapText="1"/>
    </xf>
    <xf numFmtId="0" fontId="1" fillId="30" borderId="0" xfId="5" applyFill="1" applyAlignment="1">
      <alignment horizontal="left" vertical="top" wrapText="1"/>
    </xf>
    <xf numFmtId="0" fontId="0" fillId="0" borderId="0" xfId="0" applyAlignment="1">
      <alignment horizontal="left" vertical="top"/>
    </xf>
    <xf numFmtId="0" fontId="44" fillId="32" borderId="0" xfId="5" applyFont="1" applyFill="1" applyAlignment="1">
      <alignment horizontal="left" vertical="top" wrapText="1"/>
    </xf>
    <xf numFmtId="0" fontId="44" fillId="33" borderId="0" xfId="5" applyFont="1" applyFill="1" applyAlignment="1">
      <alignment horizontal="left" vertical="top" wrapText="1"/>
    </xf>
    <xf numFmtId="0" fontId="1" fillId="32" borderId="0" xfId="5" applyFill="1" applyAlignment="1">
      <alignment horizontal="left" vertical="top" wrapText="1"/>
    </xf>
    <xf numFmtId="0" fontId="1" fillId="31" borderId="0" xfId="5" applyFill="1" applyAlignment="1">
      <alignment horizontal="left" vertical="top" wrapText="1"/>
    </xf>
    <xf numFmtId="0" fontId="1" fillId="33" borderId="0" xfId="5" applyFill="1" applyAlignment="1">
      <alignment horizontal="left" vertical="top" wrapText="1"/>
    </xf>
    <xf numFmtId="0" fontId="44" fillId="34" borderId="0" xfId="5" applyFont="1" applyFill="1" applyAlignment="1">
      <alignment horizontal="left" vertical="top" wrapText="1"/>
    </xf>
    <xf numFmtId="0" fontId="1" fillId="34" borderId="0" xfId="5" applyFill="1" applyAlignment="1">
      <alignment horizontal="left" vertical="top" wrapText="1"/>
    </xf>
    <xf numFmtId="0" fontId="35" fillId="2" borderId="2" xfId="0" applyFont="1" applyFill="1" applyBorder="1" applyAlignment="1" applyProtection="1">
      <alignment horizontal="left" vertical="center" wrapText="1"/>
      <protection locked="0"/>
    </xf>
    <xf numFmtId="9" fontId="53" fillId="16" borderId="1" xfId="0" applyNumberFormat="1" applyFont="1" applyFill="1" applyBorder="1" applyAlignment="1">
      <alignment horizontal="center" vertical="center"/>
    </xf>
    <xf numFmtId="9" fontId="53" fillId="16" borderId="4" xfId="0" applyNumberFormat="1" applyFont="1" applyFill="1" applyBorder="1" applyAlignment="1">
      <alignment horizontal="center" vertical="center"/>
    </xf>
    <xf numFmtId="9" fontId="53" fillId="16" borderId="14" xfId="0" applyNumberFormat="1" applyFont="1" applyFill="1" applyBorder="1" applyAlignment="1">
      <alignment horizontal="center" vertical="center"/>
    </xf>
    <xf numFmtId="9" fontId="53" fillId="16" borderId="18" xfId="0" applyNumberFormat="1" applyFont="1" applyFill="1" applyBorder="1" applyAlignment="1">
      <alignment horizontal="center" vertical="center"/>
    </xf>
    <xf numFmtId="1" fontId="53" fillId="16" borderId="99" xfId="0" applyNumberFormat="1" applyFont="1" applyFill="1" applyBorder="1" applyAlignment="1">
      <alignment horizontal="center" vertical="center"/>
    </xf>
    <xf numFmtId="9" fontId="53" fillId="16" borderId="15" xfId="0" applyNumberFormat="1" applyFont="1" applyFill="1" applyBorder="1" applyAlignment="1">
      <alignment horizontal="center" vertical="center"/>
    </xf>
    <xf numFmtId="0" fontId="53" fillId="16" borderId="117" xfId="0" applyNumberFormat="1" applyFont="1" applyFill="1" applyBorder="1" applyAlignment="1">
      <alignment horizontal="center" vertical="center"/>
    </xf>
    <xf numFmtId="1" fontId="53" fillId="16" borderId="117" xfId="0" applyNumberFormat="1" applyFont="1" applyFill="1" applyBorder="1" applyAlignment="1">
      <alignment horizontal="center" vertical="center"/>
    </xf>
    <xf numFmtId="1" fontId="53" fillId="16" borderId="0" xfId="0" applyNumberFormat="1" applyFont="1" applyFill="1" applyBorder="1" applyAlignment="1">
      <alignment horizontal="center" vertical="center"/>
    </xf>
    <xf numFmtId="0" fontId="53" fillId="2" borderId="7" xfId="0" applyFont="1" applyFill="1" applyBorder="1" applyAlignment="1">
      <alignment vertical="center"/>
    </xf>
    <xf numFmtId="0" fontId="53" fillId="2" borderId="8" xfId="0" applyFont="1" applyFill="1" applyBorder="1" applyAlignment="1">
      <alignment vertical="center"/>
    </xf>
    <xf numFmtId="0" fontId="53" fillId="2" borderId="9" xfId="0" applyFont="1" applyFill="1" applyBorder="1" applyAlignment="1">
      <alignment vertical="center"/>
    </xf>
    <xf numFmtId="0" fontId="9" fillId="16" borderId="2" xfId="0" applyFont="1" applyFill="1" applyBorder="1" applyAlignment="1" applyProtection="1">
      <alignment horizontal="left"/>
    </xf>
    <xf numFmtId="0" fontId="154" fillId="35" borderId="8" xfId="0" applyFont="1" applyFill="1" applyBorder="1" applyAlignment="1" applyProtection="1">
      <alignment horizontal="left" vertical="center" wrapText="1"/>
      <protection locked="0"/>
    </xf>
    <xf numFmtId="0" fontId="13" fillId="26" borderId="8" xfId="0" applyFont="1" applyFill="1" applyBorder="1" applyAlignment="1" applyProtection="1">
      <alignment horizontal="left" vertical="center" wrapText="1"/>
      <protection locked="0"/>
    </xf>
    <xf numFmtId="0" fontId="13" fillId="26" borderId="108" xfId="0" applyFont="1" applyFill="1" applyBorder="1" applyAlignment="1" applyProtection="1">
      <alignment horizontal="left" vertical="center" wrapText="1"/>
      <protection locked="0"/>
    </xf>
    <xf numFmtId="0" fontId="124" fillId="26"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55" fillId="35" borderId="8" xfId="0" applyFont="1" applyFill="1" applyBorder="1" applyAlignment="1" applyProtection="1">
      <alignment horizontal="left" vertical="center"/>
      <protection locked="0"/>
    </xf>
    <xf numFmtId="49" fontId="50" fillId="0" borderId="0" xfId="0" applyNumberFormat="1" applyFont="1" applyBorder="1" applyAlignment="1" applyProtection="1">
      <alignment horizontal="center" wrapText="1"/>
    </xf>
    <xf numFmtId="0" fontId="67" fillId="6" borderId="17" xfId="2" applyFont="1" applyFill="1" applyBorder="1" applyAlignment="1">
      <alignment vertical="top" wrapText="1"/>
    </xf>
    <xf numFmtId="14" fontId="13" fillId="26" borderId="8" xfId="0" applyNumberFormat="1" applyFont="1" applyFill="1" applyBorder="1" applyAlignment="1" applyProtection="1">
      <alignment horizontal="left" vertical="center" wrapText="1"/>
      <protection locked="0"/>
    </xf>
    <xf numFmtId="10" fontId="124" fillId="2" borderId="8" xfId="0" applyNumberFormat="1" applyFont="1" applyFill="1" applyBorder="1" applyAlignment="1" applyProtection="1">
      <alignment horizontal="left" vertical="center" wrapText="1"/>
      <protection locked="0"/>
    </xf>
    <xf numFmtId="0" fontId="67" fillId="0" borderId="17" xfId="0" applyFont="1" applyFill="1" applyBorder="1" applyAlignment="1">
      <alignment vertical="top" wrapText="1"/>
    </xf>
    <xf numFmtId="0" fontId="22" fillId="0" borderId="0" xfId="0" applyFont="1" applyFill="1" applyBorder="1" applyAlignment="1" applyProtection="1">
      <alignment horizontal="left" vertical="center" wrapText="1"/>
    </xf>
    <xf numFmtId="0" fontId="142" fillId="0" borderId="5" xfId="0" applyFont="1" applyBorder="1" applyAlignment="1" applyProtection="1">
      <alignment horizontal="left" vertical="top" wrapText="1"/>
      <protection locked="0"/>
    </xf>
    <xf numFmtId="0" fontId="40" fillId="0" borderId="4" xfId="0" applyFont="1" applyBorder="1" applyAlignment="1" applyProtection="1">
      <alignment horizontal="center" vertical="center" wrapText="1"/>
    </xf>
    <xf numFmtId="0" fontId="52" fillId="0" borderId="0" xfId="0" applyFont="1" applyFill="1" applyBorder="1" applyAlignment="1" applyProtection="1">
      <alignment horizontal="left" vertical="center" wrapText="1"/>
    </xf>
    <xf numFmtId="0" fontId="142" fillId="0" borderId="5" xfId="0" applyFont="1" applyBorder="1" applyAlignment="1" applyProtection="1">
      <alignment horizontal="left" vertical="top"/>
      <protection locked="0"/>
    </xf>
    <xf numFmtId="0" fontId="22" fillId="0" borderId="0" xfId="0" applyFont="1" applyFill="1" applyBorder="1" applyAlignment="1" applyProtection="1">
      <alignment horizontal="left" vertical="top" wrapText="1"/>
    </xf>
    <xf numFmtId="0" fontId="142" fillId="0" borderId="5" xfId="0" applyFont="1" applyBorder="1" applyAlignment="1" applyProtection="1">
      <alignment horizontal="left" vertical="top" wrapText="1"/>
    </xf>
    <xf numFmtId="0" fontId="0" fillId="0" borderId="5" xfId="0" applyBorder="1" applyAlignment="1">
      <alignment horizontal="left" vertical="top" wrapText="1"/>
    </xf>
    <xf numFmtId="0" fontId="75" fillId="0" borderId="14" xfId="0" applyFont="1" applyFill="1" applyBorder="1" applyAlignment="1" applyProtection="1">
      <alignment horizontal="left" vertical="center" wrapText="1"/>
    </xf>
    <xf numFmtId="0" fontId="52" fillId="0" borderId="5" xfId="0" applyFont="1" applyFill="1" applyBorder="1" applyAlignment="1" applyProtection="1">
      <alignment horizontal="left" vertical="center" wrapText="1"/>
    </xf>
    <xf numFmtId="0" fontId="8" fillId="0" borderId="16" xfId="0" applyFont="1" applyFill="1" applyBorder="1" applyAlignment="1" applyProtection="1">
      <alignment horizontal="left" wrapText="1"/>
    </xf>
    <xf numFmtId="0" fontId="139" fillId="0" borderId="8" xfId="0" applyFont="1" applyBorder="1" applyAlignment="1" applyProtection="1">
      <alignment vertical="top" wrapText="1"/>
    </xf>
    <xf numFmtId="0" fontId="47" fillId="0" borderId="8" xfId="0" applyFont="1" applyBorder="1" applyAlignment="1" applyProtection="1">
      <alignment vertical="top"/>
    </xf>
    <xf numFmtId="0" fontId="47" fillId="0" borderId="5" xfId="0" applyFont="1" applyBorder="1" applyAlignment="1" applyProtection="1">
      <alignment vertical="top" wrapText="1"/>
    </xf>
    <xf numFmtId="0" fontId="21" fillId="0" borderId="14" xfId="0" applyFont="1" applyFill="1" applyBorder="1" applyAlignment="1" applyProtection="1">
      <alignment horizontal="left" vertical="center" wrapText="1"/>
    </xf>
    <xf numFmtId="0" fontId="3" fillId="0" borderId="16" xfId="0" applyFont="1" applyFill="1" applyBorder="1" applyAlignment="1" applyProtection="1">
      <alignment horizontal="left" vertical="top" wrapText="1"/>
    </xf>
    <xf numFmtId="0" fontId="77" fillId="0" borderId="16" xfId="0" applyFont="1" applyFill="1" applyBorder="1" applyAlignment="1" applyProtection="1">
      <alignment horizontal="left" vertical="top" wrapText="1"/>
    </xf>
    <xf numFmtId="0" fontId="47" fillId="0" borderId="8" xfId="0" applyFont="1" applyBorder="1" applyAlignment="1" applyProtection="1">
      <alignment vertical="top" wrapText="1"/>
    </xf>
    <xf numFmtId="0" fontId="139" fillId="0" borderId="8" xfId="0" applyFont="1" applyBorder="1" applyAlignment="1" applyProtection="1">
      <alignment vertical="top"/>
    </xf>
    <xf numFmtId="0" fontId="67" fillId="7" borderId="17" xfId="0" applyFont="1" applyFill="1" applyBorder="1" applyAlignment="1">
      <alignment horizontal="left" vertical="top" wrapText="1"/>
    </xf>
    <xf numFmtId="0" fontId="67" fillId="7" borderId="17" xfId="0" applyFont="1" applyFill="1" applyBorder="1" applyAlignment="1">
      <alignment vertical="top" wrapText="1"/>
    </xf>
    <xf numFmtId="0" fontId="67" fillId="7" borderId="17" xfId="2" applyFont="1" applyFill="1" applyBorder="1" applyAlignment="1">
      <alignment vertical="top" wrapText="1"/>
    </xf>
    <xf numFmtId="0" fontId="50" fillId="16" borderId="1" xfId="0" applyFont="1" applyFill="1" applyBorder="1" applyAlignment="1" applyProtection="1">
      <alignment horizontal="left" vertical="top" wrapText="1"/>
    </xf>
    <xf numFmtId="0" fontId="50" fillId="16" borderId="2" xfId="0" applyFont="1" applyFill="1" applyBorder="1" applyAlignment="1" applyProtection="1">
      <alignment horizontal="left" vertical="top"/>
    </xf>
    <xf numFmtId="0" fontId="50" fillId="16" borderId="3" xfId="0" applyFont="1" applyFill="1" applyBorder="1" applyAlignment="1" applyProtection="1">
      <alignment horizontal="left" vertical="top"/>
    </xf>
    <xf numFmtId="0" fontId="50" fillId="16" borderId="4" xfId="0" applyFont="1" applyFill="1" applyBorder="1" applyAlignment="1" applyProtection="1">
      <alignment horizontal="left" vertical="top"/>
    </xf>
    <xf numFmtId="0" fontId="50" fillId="16" borderId="0" xfId="0" applyFont="1" applyFill="1" applyBorder="1" applyAlignment="1" applyProtection="1">
      <alignment horizontal="left" vertical="top"/>
    </xf>
    <xf numFmtId="0" fontId="50" fillId="16" borderId="6" xfId="0" applyFont="1" applyFill="1" applyBorder="1" applyAlignment="1" applyProtection="1">
      <alignment horizontal="left" vertical="top"/>
    </xf>
    <xf numFmtId="0" fontId="50" fillId="16" borderId="14" xfId="0" applyFont="1" applyFill="1" applyBorder="1" applyAlignment="1" applyProtection="1">
      <alignment horizontal="left" vertical="top"/>
    </xf>
    <xf numFmtId="0" fontId="50" fillId="16" borderId="5" xfId="0" applyFont="1" applyFill="1" applyBorder="1" applyAlignment="1" applyProtection="1">
      <alignment horizontal="left" vertical="top"/>
    </xf>
    <xf numFmtId="0" fontId="50" fillId="16" borderId="16" xfId="0" applyFont="1" applyFill="1" applyBorder="1" applyAlignment="1" applyProtection="1">
      <alignment horizontal="left" vertical="top"/>
    </xf>
    <xf numFmtId="0" fontId="137" fillId="0" borderId="8" xfId="0" applyFont="1" applyFill="1" applyBorder="1" applyAlignment="1">
      <alignment horizontal="left" vertical="top" wrapText="1"/>
    </xf>
    <xf numFmtId="0" fontId="137" fillId="0" borderId="9" xfId="0" applyFont="1" applyFill="1" applyBorder="1" applyAlignment="1">
      <alignment horizontal="left" vertical="top" wrapText="1"/>
    </xf>
    <xf numFmtId="0" fontId="56" fillId="0" borderId="0" xfId="3" applyFill="1" applyAlignment="1" applyProtection="1">
      <alignment vertical="center"/>
    </xf>
    <xf numFmtId="0" fontId="78" fillId="0" borderId="29" xfId="0" applyFont="1" applyFill="1" applyBorder="1" applyAlignment="1" applyProtection="1">
      <alignment horizontal="left" vertical="center" wrapText="1"/>
    </xf>
    <xf numFmtId="0" fontId="56" fillId="0" borderId="0" xfId="3" applyFill="1" applyAlignment="1" applyProtection="1">
      <alignment horizontal="left" vertical="center"/>
    </xf>
    <xf numFmtId="0" fontId="56" fillId="0" borderId="0" xfId="3" applyFill="1" applyAlignment="1" applyProtection="1">
      <alignment horizontal="left" vertical="center" wrapText="1"/>
    </xf>
    <xf numFmtId="0" fontId="78" fillId="0" borderId="0" xfId="0" applyFont="1" applyFill="1" applyBorder="1" applyAlignment="1" applyProtection="1">
      <alignment horizontal="center" vertical="center" wrapText="1"/>
    </xf>
    <xf numFmtId="0" fontId="56" fillId="0" borderId="0" xfId="3" applyFill="1" applyBorder="1" applyAlignment="1" applyProtection="1">
      <alignment horizontal="left" vertical="center" wrapText="1"/>
    </xf>
    <xf numFmtId="0" fontId="56" fillId="0" borderId="0" xfId="3" applyFont="1" applyFill="1" applyBorder="1" applyAlignment="1" applyProtection="1">
      <alignment horizontal="left" vertical="center"/>
    </xf>
    <xf numFmtId="0" fontId="144" fillId="27" borderId="0" xfId="0" applyFont="1" applyFill="1" applyBorder="1" applyAlignment="1" applyProtection="1">
      <alignment horizontal="left" vertical="top" wrapText="1"/>
    </xf>
    <xf numFmtId="164" fontId="3" fillId="0" borderId="10" xfId="0" applyNumberFormat="1"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80" fillId="0" borderId="18" xfId="0" applyFont="1" applyFill="1" applyBorder="1" applyAlignment="1" applyProtection="1">
      <alignment horizontal="left" vertical="center"/>
      <protection locked="0"/>
    </xf>
    <xf numFmtId="0" fontId="80" fillId="0" borderId="19"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56" fillId="0" borderId="10" xfId="3" applyFill="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78" fillId="0" borderId="5" xfId="0" applyFont="1" applyBorder="1" applyAlignment="1" applyProtection="1">
      <alignment horizontal="left" vertical="center"/>
    </xf>
    <xf numFmtId="0" fontId="78"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111" fillId="0" borderId="0" xfId="0" applyFont="1" applyBorder="1" applyAlignment="1" applyProtection="1">
      <alignment horizontal="left" vertical="center" wrapText="1"/>
    </xf>
    <xf numFmtId="0" fontId="56" fillId="0" borderId="0" xfId="3" applyFill="1" applyBorder="1" applyAlignment="1" applyProtection="1">
      <alignment horizontal="left" vertical="center"/>
    </xf>
    <xf numFmtId="0" fontId="51" fillId="0" borderId="44" xfId="0" applyFont="1" applyFill="1" applyBorder="1" applyAlignment="1" applyProtection="1">
      <alignment horizontal="center" vertical="center"/>
    </xf>
    <xf numFmtId="0" fontId="51" fillId="0" borderId="31" xfId="0" applyFont="1" applyFill="1" applyBorder="1" applyAlignment="1" applyProtection="1">
      <alignment horizontal="center" vertical="center"/>
    </xf>
    <xf numFmtId="49" fontId="3" fillId="0" borderId="12" xfId="0" applyNumberFormat="1" applyFont="1" applyFill="1" applyBorder="1" applyAlignment="1" applyProtection="1">
      <alignment horizontal="left" vertical="center" wrapText="1"/>
      <protection locked="0"/>
    </xf>
    <xf numFmtId="0" fontId="78" fillId="0" borderId="0" xfId="0" applyFont="1" applyFill="1" applyBorder="1" applyAlignment="1" applyProtection="1">
      <alignment horizontal="left" vertical="center"/>
    </xf>
    <xf numFmtId="0" fontId="142" fillId="0" borderId="17" xfId="0" applyFont="1" applyBorder="1" applyAlignment="1" applyProtection="1">
      <alignment horizontal="left" vertical="top" wrapText="1"/>
      <protection locked="0"/>
    </xf>
    <xf numFmtId="0" fontId="0" fillId="0" borderId="17" xfId="0" applyBorder="1" applyAlignment="1">
      <alignment horizontal="left" vertical="top" wrapText="1"/>
    </xf>
    <xf numFmtId="0" fontId="6" fillId="0" borderId="4" xfId="0" applyFont="1" applyBorder="1" applyAlignment="1" applyProtection="1">
      <alignment horizontal="center" vertical="center" wrapText="1"/>
    </xf>
    <xf numFmtId="0" fontId="69" fillId="11" borderId="7" xfId="0" applyFont="1" applyFill="1" applyBorder="1" applyAlignment="1" applyProtection="1">
      <alignment horizontal="center" vertical="center" wrapText="1"/>
    </xf>
    <xf numFmtId="0" fontId="69" fillId="11" borderId="8" xfId="0" applyFont="1" applyFill="1" applyBorder="1" applyAlignment="1" applyProtection="1">
      <alignment horizontal="center" vertical="center" wrapText="1"/>
    </xf>
    <xf numFmtId="0" fontId="69" fillId="11" borderId="9"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9" fillId="10" borderId="7" xfId="0" applyFont="1" applyFill="1" applyBorder="1" applyAlignment="1" applyProtection="1">
      <alignment horizontal="center" vertical="center" wrapText="1"/>
    </xf>
    <xf numFmtId="0" fontId="69" fillId="10" borderId="8" xfId="0" applyFont="1" applyFill="1" applyBorder="1" applyAlignment="1" applyProtection="1">
      <alignment horizontal="center" vertical="center" wrapText="1"/>
    </xf>
    <xf numFmtId="0" fontId="69" fillId="10" borderId="9" xfId="0" applyFont="1" applyFill="1" applyBorder="1" applyAlignment="1" applyProtection="1">
      <alignment horizontal="center" vertical="center" wrapText="1"/>
    </xf>
    <xf numFmtId="0" fontId="52" fillId="0" borderId="1" xfId="0" applyFont="1" applyFill="1" applyBorder="1" applyAlignment="1" applyProtection="1">
      <alignment horizontal="left" vertical="top" wrapText="1"/>
      <protection locked="0"/>
    </xf>
    <xf numFmtId="0" fontId="52" fillId="0" borderId="3" xfId="0" applyFont="1" applyFill="1" applyBorder="1" applyAlignment="1" applyProtection="1">
      <alignment horizontal="left" vertical="top" wrapText="1"/>
      <protection locked="0"/>
    </xf>
    <xf numFmtId="0" fontId="52" fillId="0" borderId="14" xfId="0" applyFont="1" applyFill="1" applyBorder="1" applyAlignment="1" applyProtection="1">
      <alignment horizontal="left" vertical="top" wrapText="1"/>
      <protection locked="0"/>
    </xf>
    <xf numFmtId="0" fontId="52" fillId="0" borderId="16" xfId="0" applyFont="1" applyFill="1" applyBorder="1" applyAlignment="1" applyProtection="1">
      <alignment horizontal="left" vertical="top" wrapText="1"/>
      <protection locked="0"/>
    </xf>
    <xf numFmtId="0" fontId="52" fillId="0" borderId="0" xfId="0" applyFont="1" applyFill="1" applyBorder="1" applyAlignment="1" applyProtection="1">
      <alignment horizontal="left" vertical="center" wrapText="1"/>
    </xf>
    <xf numFmtId="0" fontId="40" fillId="0" borderId="4" xfId="0" applyFont="1" applyBorder="1" applyAlignment="1" applyProtection="1">
      <alignment horizontal="center" vertical="center" wrapText="1"/>
    </xf>
    <xf numFmtId="0" fontId="69" fillId="12" borderId="7" xfId="0" applyFont="1" applyFill="1" applyBorder="1" applyAlignment="1" applyProtection="1">
      <alignment horizontal="center" vertical="center" wrapText="1"/>
    </xf>
    <xf numFmtId="0" fontId="69" fillId="12" borderId="9" xfId="0" applyFont="1" applyFill="1" applyBorder="1" applyAlignment="1" applyProtection="1">
      <alignment horizontal="center" vertical="center" wrapText="1"/>
    </xf>
    <xf numFmtId="0" fontId="142" fillId="0" borderId="17" xfId="0"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22" fillId="0" borderId="0" xfId="0" applyFont="1" applyFill="1" applyBorder="1" applyAlignment="1" applyProtection="1">
      <alignment horizontal="left" vertical="center" wrapText="1"/>
    </xf>
    <xf numFmtId="14" fontId="52" fillId="0" borderId="18" xfId="0" applyNumberFormat="1" applyFont="1" applyFill="1" applyBorder="1" applyAlignment="1" applyProtection="1">
      <alignment horizontal="left" vertical="center" wrapText="1"/>
      <protection locked="0"/>
    </xf>
    <xf numFmtId="0" fontId="52" fillId="0" borderId="19" xfId="0" applyFont="1" applyFill="1" applyBorder="1" applyAlignment="1" applyProtection="1">
      <alignment horizontal="left" vertical="center" wrapText="1"/>
      <protection locked="0"/>
    </xf>
    <xf numFmtId="0" fontId="40" fillId="11" borderId="7" xfId="0"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wrapText="1"/>
    </xf>
    <xf numFmtId="0" fontId="40" fillId="12" borderId="7" xfId="0" applyFont="1" applyFill="1" applyBorder="1" applyAlignment="1" applyProtection="1">
      <alignment horizontal="center" vertical="center" wrapText="1"/>
    </xf>
    <xf numFmtId="0" fontId="40" fillId="12" borderId="8" xfId="0" applyFont="1" applyFill="1" applyBorder="1" applyAlignment="1" applyProtection="1">
      <alignment horizontal="center" vertical="center" wrapText="1"/>
    </xf>
    <xf numFmtId="0" fontId="40" fillId="12" borderId="9" xfId="0" applyFont="1" applyFill="1" applyBorder="1" applyAlignment="1" applyProtection="1">
      <alignment horizontal="center" vertical="center" wrapText="1"/>
    </xf>
    <xf numFmtId="0" fontId="40" fillId="11" borderId="8" xfId="0" applyFont="1" applyFill="1" applyBorder="1" applyAlignment="1" applyProtection="1">
      <alignment horizontal="center" vertical="center" wrapText="1"/>
    </xf>
    <xf numFmtId="0" fontId="52" fillId="0" borderId="18" xfId="0" applyFont="1" applyFill="1" applyBorder="1" applyAlignment="1" applyProtection="1">
      <alignment horizontal="left" vertical="center" wrapText="1"/>
      <protection locked="0"/>
    </xf>
    <xf numFmtId="0" fontId="40" fillId="10" borderId="7" xfId="0" applyFont="1" applyFill="1" applyBorder="1" applyAlignment="1" applyProtection="1">
      <alignment horizontal="center" vertical="center" wrapText="1"/>
    </xf>
    <xf numFmtId="0" fontId="40" fillId="10" borderId="9" xfId="0" applyFont="1" applyFill="1" applyBorder="1" applyAlignment="1" applyProtection="1">
      <alignment horizontal="center" vertical="center" wrapText="1"/>
    </xf>
    <xf numFmtId="0" fontId="52" fillId="0" borderId="29" xfId="0" applyFont="1" applyFill="1" applyBorder="1" applyAlignment="1" applyProtection="1">
      <alignment horizontal="left" vertical="center" wrapText="1"/>
    </xf>
    <xf numFmtId="0" fontId="6" fillId="11" borderId="7" xfId="0" applyFont="1" applyFill="1" applyBorder="1" applyAlignment="1" applyProtection="1">
      <alignment horizontal="center" vertical="center" wrapText="1"/>
    </xf>
    <xf numFmtId="0" fontId="6" fillId="11" borderId="8" xfId="0" applyFont="1" applyFill="1" applyBorder="1" applyAlignment="1" applyProtection="1">
      <alignment horizontal="center" vertical="center" wrapText="1"/>
    </xf>
    <xf numFmtId="0" fontId="6" fillId="11" borderId="9" xfId="0" applyFont="1" applyFill="1" applyBorder="1" applyAlignment="1" applyProtection="1">
      <alignment horizontal="center" vertical="center" wrapText="1"/>
    </xf>
    <xf numFmtId="0" fontId="6" fillId="12" borderId="7" xfId="0" applyFont="1" applyFill="1" applyBorder="1" applyAlignment="1" applyProtection="1">
      <alignment horizontal="center" vertical="center" wrapText="1"/>
    </xf>
    <xf numFmtId="0" fontId="6" fillId="12" borderId="8"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0" borderId="7" xfId="0" applyFont="1" applyFill="1" applyBorder="1" applyAlignment="1" applyProtection="1">
      <alignment horizontal="center" vertical="center"/>
    </xf>
    <xf numFmtId="0" fontId="6" fillId="10"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6" fillId="11" borderId="7" xfId="0" applyFont="1" applyFill="1" applyBorder="1" applyAlignment="1" applyProtection="1">
      <alignment horizontal="center" vertical="center"/>
    </xf>
    <xf numFmtId="0" fontId="6" fillId="11" borderId="8" xfId="0" applyFont="1" applyFill="1" applyBorder="1" applyAlignment="1" applyProtection="1">
      <alignment horizontal="center" vertical="center"/>
    </xf>
    <xf numFmtId="0" fontId="6" fillId="11" borderId="9" xfId="0" applyFont="1" applyFill="1" applyBorder="1" applyAlignment="1" applyProtection="1">
      <alignment horizontal="center" vertical="center"/>
    </xf>
    <xf numFmtId="0" fontId="6" fillId="12" borderId="7" xfId="0" applyFont="1" applyFill="1" applyBorder="1" applyAlignment="1" applyProtection="1">
      <alignment horizontal="center" vertical="center"/>
    </xf>
    <xf numFmtId="0" fontId="6" fillId="12" borderId="8" xfId="0" applyFont="1" applyFill="1" applyBorder="1" applyAlignment="1" applyProtection="1">
      <alignment horizontal="center" vertical="center"/>
    </xf>
    <xf numFmtId="0" fontId="6" fillId="12" borderId="9" xfId="0" applyFont="1" applyFill="1" applyBorder="1" applyAlignment="1" applyProtection="1">
      <alignment horizontal="center" vertical="center"/>
    </xf>
    <xf numFmtId="0" fontId="40" fillId="10" borderId="8" xfId="0" applyFont="1" applyFill="1" applyBorder="1" applyAlignment="1" applyProtection="1">
      <alignment horizontal="center" vertical="center" wrapText="1"/>
    </xf>
    <xf numFmtId="0" fontId="6" fillId="28" borderId="7" xfId="0" applyFont="1" applyFill="1" applyBorder="1" applyAlignment="1" applyProtection="1">
      <alignment horizontal="center" vertical="center" wrapText="1"/>
    </xf>
    <xf numFmtId="0" fontId="6" fillId="28" borderId="9" xfId="0" applyFont="1" applyFill="1" applyBorder="1" applyAlignment="1" applyProtection="1">
      <alignment horizontal="center" vertical="center" wrapText="1"/>
    </xf>
    <xf numFmtId="0" fontId="6" fillId="10" borderId="7" xfId="0" applyFont="1" applyFill="1" applyBorder="1" applyAlignment="1" applyProtection="1">
      <alignment horizontal="center" vertical="center" wrapText="1"/>
    </xf>
    <xf numFmtId="0" fontId="6" fillId="10" borderId="8" xfId="0" applyFont="1" applyFill="1" applyBorder="1" applyAlignment="1" applyProtection="1">
      <alignment horizontal="center" vertical="center" wrapText="1"/>
    </xf>
    <xf numFmtId="0" fontId="6" fillId="10" borderId="9" xfId="0" applyFont="1" applyFill="1" applyBorder="1" applyAlignment="1" applyProtection="1">
      <alignment horizontal="center" vertical="center" wrapText="1"/>
    </xf>
    <xf numFmtId="0" fontId="22" fillId="0" borderId="0" xfId="0" applyFont="1" applyFill="1" applyBorder="1" applyAlignment="1" applyProtection="1">
      <alignment horizontal="left" vertical="top" wrapText="1"/>
    </xf>
    <xf numFmtId="0" fontId="142" fillId="0" borderId="7" xfId="0" applyFont="1" applyBorder="1" applyAlignment="1" applyProtection="1">
      <alignment horizontal="center" vertical="center" wrapText="1"/>
      <protection locked="0"/>
    </xf>
    <xf numFmtId="0" fontId="142" fillId="0" borderId="9" xfId="0" applyFont="1" applyBorder="1" applyAlignment="1" applyProtection="1">
      <alignment horizontal="center" vertical="center" wrapText="1"/>
      <protection locked="0"/>
    </xf>
    <xf numFmtId="0" fontId="142" fillId="0" borderId="7" xfId="0" applyFont="1" applyBorder="1" applyAlignment="1" applyProtection="1">
      <alignment horizontal="left" vertical="top" wrapText="1"/>
      <protection locked="0"/>
    </xf>
    <xf numFmtId="0" fontId="142" fillId="0" borderId="9" xfId="0" applyFont="1" applyBorder="1" applyAlignment="1" applyProtection="1">
      <alignment horizontal="left" vertical="top" wrapText="1"/>
      <protection locked="0"/>
    </xf>
    <xf numFmtId="0" fontId="142" fillId="0" borderId="17" xfId="0" applyFont="1" applyBorder="1" applyAlignment="1" applyProtection="1">
      <alignment horizontal="left" vertical="top" wrapText="1"/>
    </xf>
    <xf numFmtId="0" fontId="40" fillId="12" borderId="7" xfId="0" applyFont="1" applyFill="1" applyBorder="1" applyAlignment="1" applyProtection="1">
      <alignment horizontal="center" vertical="center"/>
    </xf>
    <xf numFmtId="0" fontId="40" fillId="12" borderId="8" xfId="0" applyFont="1" applyFill="1" applyBorder="1" applyAlignment="1" applyProtection="1">
      <alignment horizontal="center" vertical="center"/>
    </xf>
    <xf numFmtId="0" fontId="40" fillId="12" borderId="9" xfId="0" applyFont="1" applyFill="1" applyBorder="1" applyAlignment="1" applyProtection="1">
      <alignment horizontal="center" vertical="center"/>
    </xf>
    <xf numFmtId="0" fontId="52" fillId="0" borderId="91" xfId="0" applyFont="1" applyFill="1" applyBorder="1" applyAlignment="1" applyProtection="1">
      <alignment horizontal="left" vertical="center" wrapText="1"/>
    </xf>
    <xf numFmtId="0" fontId="78" fillId="0" borderId="0" xfId="0" applyFont="1" applyFill="1" applyBorder="1" applyAlignment="1" applyProtection="1">
      <alignment horizontal="left" vertical="top" wrapText="1"/>
    </xf>
    <xf numFmtId="0" fontId="50" fillId="0" borderId="2" xfId="0" applyFont="1" applyFill="1" applyBorder="1" applyAlignment="1" applyProtection="1">
      <alignment horizontal="right" vertical="center"/>
    </xf>
    <xf numFmtId="0" fontId="50" fillId="0" borderId="23" xfId="0" applyFont="1" applyFill="1" applyBorder="1" applyAlignment="1" applyProtection="1">
      <alignment horizontal="right" vertical="center"/>
    </xf>
    <xf numFmtId="0" fontId="50" fillId="0" borderId="11" xfId="0" applyFont="1" applyFill="1" applyBorder="1" applyAlignment="1" applyProtection="1">
      <alignment horizontal="left" vertical="center" wrapText="1"/>
    </xf>
    <xf numFmtId="0" fontId="50" fillId="0" borderId="12" xfId="0" applyFont="1" applyFill="1" applyBorder="1" applyAlignment="1" applyProtection="1">
      <alignment horizontal="left" vertical="center" wrapText="1"/>
    </xf>
    <xf numFmtId="0" fontId="50" fillId="0" borderId="47" xfId="0" applyFont="1" applyFill="1" applyBorder="1" applyAlignment="1" applyProtection="1">
      <alignment horizontal="left" vertical="center" wrapText="1"/>
    </xf>
    <xf numFmtId="0" fontId="50" fillId="0" borderId="48" xfId="0" applyFont="1" applyFill="1" applyBorder="1" applyAlignment="1" applyProtection="1">
      <alignment horizontal="left" vertical="center" wrapText="1"/>
    </xf>
    <xf numFmtId="0" fontId="50" fillId="0" borderId="35" xfId="0" applyFont="1" applyFill="1" applyBorder="1" applyAlignment="1" applyProtection="1">
      <alignment horizontal="left" vertical="center"/>
    </xf>
    <xf numFmtId="0" fontId="50" fillId="0" borderId="45" xfId="0" applyFont="1" applyFill="1" applyBorder="1" applyAlignment="1" applyProtection="1">
      <alignment horizontal="left" vertical="center" wrapText="1"/>
    </xf>
    <xf numFmtId="0" fontId="50" fillId="0" borderId="20" xfId="0" applyFont="1" applyFill="1" applyBorder="1" applyAlignment="1" applyProtection="1">
      <alignment horizontal="left" vertical="center" wrapText="1"/>
    </xf>
    <xf numFmtId="0" fontId="61" fillId="0" borderId="0" xfId="0" applyFont="1" applyFill="1" applyBorder="1" applyAlignment="1">
      <alignment horizontal="left" vertical="center" wrapText="1"/>
    </xf>
    <xf numFmtId="0" fontId="119" fillId="2" borderId="18" xfId="0" applyFont="1" applyFill="1" applyBorder="1" applyAlignment="1">
      <alignment horizontal="center" vertical="center"/>
    </xf>
    <xf numFmtId="0" fontId="119" fillId="2" borderId="15" xfId="0" applyFont="1" applyFill="1" applyBorder="1" applyAlignment="1">
      <alignment horizontal="center" vertical="center"/>
    </xf>
    <xf numFmtId="9" fontId="119" fillId="2" borderId="50" xfId="0" applyNumberFormat="1" applyFont="1" applyFill="1" applyBorder="1" applyAlignment="1">
      <alignment horizontal="center" vertical="center"/>
    </xf>
    <xf numFmtId="9" fontId="119" fillId="2" borderId="53" xfId="0" applyNumberFormat="1" applyFont="1" applyFill="1" applyBorder="1" applyAlignment="1">
      <alignment horizontal="center" vertical="center"/>
    </xf>
    <xf numFmtId="9" fontId="119" fillId="2" borderId="96" xfId="0" applyNumberFormat="1" applyFont="1" applyFill="1" applyBorder="1" applyAlignment="1">
      <alignment horizontal="center" vertical="center"/>
    </xf>
    <xf numFmtId="9" fontId="119" fillId="2" borderId="97" xfId="0" applyNumberFormat="1" applyFont="1" applyFill="1" applyBorder="1" applyAlignment="1">
      <alignment horizontal="center" vertical="center"/>
    </xf>
    <xf numFmtId="9" fontId="54" fillId="2" borderId="15" xfId="0" applyNumberFormat="1" applyFont="1" applyFill="1" applyBorder="1" applyAlignment="1">
      <alignment horizontal="center" vertical="center" wrapText="1"/>
    </xf>
    <xf numFmtId="9" fontId="54" fillId="2" borderId="19" xfId="0" applyNumberFormat="1" applyFont="1" applyFill="1" applyBorder="1" applyAlignment="1">
      <alignment horizontal="center" vertical="center" wrapText="1"/>
    </xf>
    <xf numFmtId="9" fontId="54" fillId="2" borderId="18" xfId="0" applyNumberFormat="1" applyFont="1" applyFill="1" applyBorder="1" applyAlignment="1">
      <alignment horizontal="center" vertical="center" wrapText="1"/>
    </xf>
    <xf numFmtId="9" fontId="54" fillId="2" borderId="99" xfId="0" applyNumberFormat="1" applyFont="1" applyFill="1" applyBorder="1" applyAlignment="1">
      <alignment horizontal="center" vertical="center" wrapText="1"/>
    </xf>
    <xf numFmtId="0" fontId="53" fillId="16" borderId="0" xfId="0" applyFont="1" applyFill="1" applyAlignment="1">
      <alignment vertical="top" wrapText="1"/>
    </xf>
    <xf numFmtId="0" fontId="53" fillId="16" borderId="2" xfId="0" applyFont="1" applyFill="1" applyBorder="1" applyAlignment="1">
      <alignment vertical="top" wrapText="1"/>
    </xf>
    <xf numFmtId="0" fontId="53" fillId="16" borderId="0" xfId="0" applyFont="1" applyFill="1" applyBorder="1" applyAlignment="1">
      <alignment vertical="top" wrapText="1"/>
    </xf>
    <xf numFmtId="0" fontId="53" fillId="16" borderId="5" xfId="0" applyFont="1" applyFill="1" applyBorder="1" applyAlignment="1">
      <alignment vertical="top" wrapText="1"/>
    </xf>
    <xf numFmtId="0" fontId="115" fillId="18" borderId="17" xfId="0" applyFont="1" applyFill="1" applyBorder="1" applyAlignment="1">
      <alignment horizontal="center" vertical="top"/>
    </xf>
    <xf numFmtId="0" fontId="115" fillId="17" borderId="17" xfId="0" applyFont="1" applyFill="1" applyBorder="1" applyAlignment="1">
      <alignment horizontal="center" vertical="top"/>
    </xf>
    <xf numFmtId="0" fontId="115" fillId="17" borderId="7" xfId="0" applyFont="1" applyFill="1" applyBorder="1" applyAlignment="1">
      <alignment horizontal="center" vertical="top"/>
    </xf>
    <xf numFmtId="0" fontId="115" fillId="21" borderId="9" xfId="0" applyFont="1" applyFill="1" applyBorder="1" applyAlignment="1">
      <alignment horizontal="center" vertical="top"/>
    </xf>
    <xf numFmtId="0" fontId="115" fillId="21" borderId="17" xfId="0" applyFont="1" applyFill="1" applyBorder="1" applyAlignment="1">
      <alignment horizontal="center" vertical="top"/>
    </xf>
    <xf numFmtId="0" fontId="54" fillId="19" borderId="9" xfId="0" applyFont="1" applyFill="1" applyBorder="1" applyAlignment="1">
      <alignment horizontal="center" vertical="top"/>
    </xf>
    <xf numFmtId="0" fontId="54" fillId="19" borderId="17" xfId="0" applyFont="1" applyFill="1" applyBorder="1" applyAlignment="1">
      <alignment horizontal="center" vertical="top"/>
    </xf>
    <xf numFmtId="0" fontId="54" fillId="19" borderId="7" xfId="0" applyFont="1" applyFill="1" applyBorder="1" applyAlignment="1">
      <alignment horizontal="center" vertical="top"/>
    </xf>
    <xf numFmtId="0" fontId="115" fillId="20" borderId="17" xfId="0" applyFont="1" applyFill="1" applyBorder="1" applyAlignment="1">
      <alignment horizontal="center" vertical="top"/>
    </xf>
    <xf numFmtId="0" fontId="90" fillId="0" borderId="0" xfId="0" applyFont="1" applyFill="1" applyAlignment="1">
      <alignment horizontal="left" vertical="center" wrapText="1"/>
    </xf>
    <xf numFmtId="0" fontId="61" fillId="0" borderId="5" xfId="0" applyFont="1" applyFill="1" applyBorder="1" applyAlignment="1">
      <alignment horizontal="center" vertical="center" wrapText="1"/>
    </xf>
    <xf numFmtId="0" fontId="34" fillId="0" borderId="0" xfId="0" applyFont="1" applyBorder="1" applyAlignment="1">
      <alignment horizontal="left" vertical="top" wrapText="1"/>
    </xf>
    <xf numFmtId="0" fontId="34" fillId="0" borderId="8" xfId="0" applyFont="1" applyBorder="1" applyAlignment="1">
      <alignment horizontal="left" vertical="top" wrapText="1"/>
    </xf>
    <xf numFmtId="0" fontId="34" fillId="0" borderId="9" xfId="0" applyFont="1" applyBorder="1" applyAlignment="1">
      <alignment horizontal="left" vertical="top" wrapText="1"/>
    </xf>
    <xf numFmtId="0" fontId="58" fillId="0" borderId="0" xfId="0" applyFont="1" applyFill="1" applyBorder="1" applyAlignment="1" applyProtection="1">
      <alignment horizontal="left" vertical="center" wrapText="1"/>
    </xf>
    <xf numFmtId="0" fontId="34" fillId="0" borderId="8"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51" fillId="0" borderId="30" xfId="0" applyFont="1" applyFill="1" applyBorder="1" applyAlignment="1" applyProtection="1">
      <alignment horizontal="center" vertical="center" wrapText="1"/>
    </xf>
    <xf numFmtId="0" fontId="51" fillId="0" borderId="31" xfId="0" applyFont="1" applyFill="1" applyBorder="1" applyAlignment="1" applyProtection="1">
      <alignment horizontal="center" vertical="center" wrapText="1"/>
    </xf>
    <xf numFmtId="0" fontId="51" fillId="0" borderId="55"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wrapText="1"/>
    </xf>
    <xf numFmtId="0" fontId="49" fillId="0" borderId="0" xfId="0" applyFont="1" applyFill="1" applyBorder="1" applyAlignment="1" applyProtection="1">
      <alignment horizontal="left" vertical="top" wrapText="1"/>
    </xf>
    <xf numFmtId="0" fontId="49" fillId="0" borderId="54" xfId="0" applyFont="1" applyFill="1" applyBorder="1" applyAlignment="1" applyProtection="1">
      <alignment horizontal="left" vertical="top" wrapText="1"/>
    </xf>
    <xf numFmtId="0" fontId="151" fillId="29" borderId="0" xfId="0" applyFont="1" applyFill="1" applyAlignment="1">
      <alignment horizontal="center" vertical="center"/>
    </xf>
  </cellXfs>
  <cellStyles count="6">
    <cellStyle name="Hyperlink" xfId="3" builtinId="8"/>
    <cellStyle name="Normal" xfId="0" builtinId="0"/>
    <cellStyle name="Normal 2" xfId="2" xr:uid="{00000000-0005-0000-0000-000002000000}"/>
    <cellStyle name="Normal 3 2" xfId="5" xr:uid="{332E3E0C-7E25-4C61-B3E5-ED017BFAD332}"/>
    <cellStyle name="Normal 7" xfId="4" xr:uid="{1829024E-CFD2-4534-8536-6A7C9994B551}"/>
    <cellStyle name="Percent" xfId="1" builtinId="5"/>
  </cellStyles>
  <dxfs count="243">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border outline="0">
        <right style="thin">
          <color auto="1"/>
        </right>
      </border>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i val="0"/>
      </font>
      <fill>
        <patternFill patternType="solid">
          <fgColor rgb="FFFDECE3"/>
          <bgColor rgb="FFFCEFE0"/>
        </patternFill>
      </fill>
    </dxf>
    <dxf>
      <font>
        <b/>
        <i val="0"/>
        <color auto="1"/>
      </font>
      <fill>
        <patternFill>
          <bgColor rgb="FF00B050"/>
        </patternFill>
      </fill>
    </dxf>
    <dxf>
      <font>
        <b/>
        <i val="0"/>
      </font>
      <fill>
        <patternFill>
          <bgColor rgb="FF92D050"/>
        </patternFill>
      </fill>
    </dxf>
    <dxf>
      <font>
        <b/>
        <i val="0"/>
      </font>
      <fill>
        <patternFill>
          <bgColor rgb="FFFFC000"/>
        </patternFill>
      </fill>
    </dxf>
    <dxf>
      <font>
        <b/>
        <i val="0"/>
      </font>
      <fill>
        <patternFill>
          <bgColor rgb="FFFF0000"/>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s>
  <tableStyles count="0" defaultTableStyle="TableStyleMedium9" defaultPivotStyle="PivotStyleLight16"/>
  <colors>
    <mruColors>
      <color rgb="FFFFCC66"/>
      <color rgb="FFD6E4F2"/>
      <color rgb="FFFFD85B"/>
      <color rgb="FFFFFFCC"/>
      <color rgb="FFFDECE3"/>
      <color rgb="FFFCEFE0"/>
      <color rgb="FF0058B1"/>
      <color rgb="FFFFFFCD"/>
      <color rgb="FF80ACD8"/>
      <color rgb="FFE7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7.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8.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NISTmap!$P$5</c:f>
              <c:strCache>
                <c:ptCount val="1"/>
                <c:pt idx="0">
                  <c:v>MIL0</c:v>
                </c:pt>
              </c:strCache>
            </c:strRef>
          </c:tx>
          <c:spPr>
            <a:solidFill>
              <a:srgbClr val="FDECE3"/>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NISTmap!$P$6:$P$10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0-0DEC-45F3-881F-4320B14E4B19}"/>
            </c:ext>
          </c:extLst>
        </c:ser>
        <c:ser>
          <c:idx val="4"/>
          <c:order val="1"/>
          <c:tx>
            <c:strRef>
              <c:f>NISTmap!$Q$5</c:f>
              <c:strCache>
                <c:ptCount val="1"/>
                <c:pt idx="0">
                  <c:v>MIL1</c:v>
                </c:pt>
              </c:strCache>
            </c:strRef>
          </c:tx>
          <c:spPr>
            <a:solidFill>
              <a:srgbClr val="E7F3FF"/>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NISTmap!$Q$6:$Q$10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1-0DEC-45F3-881F-4320B14E4B19}"/>
            </c:ext>
          </c:extLst>
        </c:ser>
        <c:ser>
          <c:idx val="5"/>
          <c:order val="2"/>
          <c:tx>
            <c:strRef>
              <c:f>NISTmap!$R$5</c:f>
              <c:strCache>
                <c:ptCount val="1"/>
                <c:pt idx="0">
                  <c:v>MIl2</c:v>
                </c:pt>
              </c:strCache>
            </c:strRef>
          </c:tx>
          <c:spPr>
            <a:solidFill>
              <a:schemeClr val="bg2">
                <a:lumMod val="20000"/>
                <a:lumOff val="80000"/>
              </a:schemeClr>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NISTmap!$R$6:$R$10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2-0DEC-45F3-881F-4320B14E4B19}"/>
            </c:ext>
          </c:extLst>
        </c:ser>
        <c:ser>
          <c:idx val="6"/>
          <c:order val="3"/>
          <c:tx>
            <c:strRef>
              <c:f>NISTmap!$S$5</c:f>
              <c:strCache>
                <c:ptCount val="1"/>
                <c:pt idx="0">
                  <c:v>MIL3</c:v>
                </c:pt>
              </c:strCache>
            </c:strRef>
          </c:tx>
          <c:spPr>
            <a:solidFill>
              <a:schemeClr val="bg2">
                <a:lumMod val="40000"/>
                <a:lumOff val="60000"/>
              </a:schemeClr>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NISTmap!$S$6:$S$10</c:f>
              <c:numCache>
                <c:formatCode>General</c:formatCode>
                <c:ptCount val="5"/>
                <c:pt idx="0">
                  <c:v>0.1</c:v>
                </c:pt>
                <c:pt idx="1">
                  <c:v>0.1</c:v>
                </c:pt>
                <c:pt idx="2">
                  <c:v>0.1</c:v>
                </c:pt>
                <c:pt idx="3">
                  <c:v>0.1</c:v>
                </c:pt>
                <c:pt idx="4">
                  <c:v>0.1</c:v>
                </c:pt>
              </c:numCache>
            </c:numRef>
          </c:val>
          <c:extLst>
            <c:ext xmlns:c16="http://schemas.microsoft.com/office/drawing/2014/chart" uri="{C3380CC4-5D6E-409C-BE32-E72D297353CC}">
              <c16:uniqueId val="{00000003-0DEC-45F3-881F-4320B14E4B19}"/>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NISTmap!$I$10</c:f>
              <c:strCache>
                <c:ptCount val="1"/>
                <c:pt idx="0">
                  <c:v>Viiteryhmä</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NISTmap!$J$10:$N$10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0DEC-45F3-881F-4320B14E4B19}"/>
            </c:ext>
          </c:extLst>
        </c:ser>
        <c:ser>
          <c:idx val="1"/>
          <c:order val="5"/>
          <c:tx>
            <c:strRef>
              <c:f>NISTmap!$I$9</c:f>
              <c:strCache>
                <c:ptCount val="1"/>
                <c:pt idx="0">
                  <c:v>Edellinen</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NISTmap!$J$9:$N$9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DEC-45F3-881F-4320B14E4B19}"/>
            </c:ext>
          </c:extLst>
        </c:ser>
        <c:ser>
          <c:idx val="2"/>
          <c:order val="6"/>
          <c:tx>
            <c:strRef>
              <c:f>NISTmap!$I$7</c:f>
              <c:strCache>
                <c:ptCount val="1"/>
                <c:pt idx="0">
                  <c:v>Kyberturvallisuuden nykytila</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NISTmap!$J$7:$N$7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DEC-45F3-881F-4320B14E4B19}"/>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1"/>
          <c:min val="0"/>
        </c:scaling>
        <c:delete val="1"/>
        <c:axPos val="l"/>
        <c:numFmt formatCode="General" sourceLinked="1"/>
        <c:majorTickMark val="out"/>
        <c:minorTickMark val="none"/>
        <c:tickLblPos val="nextTo"/>
        <c:crossAx val="1856652208"/>
        <c:crosses val="autoZero"/>
        <c:crossBetween val="between"/>
        <c:majorUnit val="1"/>
      </c:valAx>
      <c:valAx>
        <c:axId val="329287672"/>
        <c:scaling>
          <c:orientation val="minMax"/>
          <c:max val="3.2"/>
          <c:min val="0"/>
        </c:scaling>
        <c:delete val="1"/>
        <c:axPos val="l"/>
        <c:numFmt formatCode="0%"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2CF-4909-92F5-97DECF5680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2CF-4909-92F5-97DECF5680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2CF-4909-92F5-97DECF5680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2CF-4909-92F5-97DECF5680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2CF-4909-92F5-97DECF5680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'R7'!$U$39:$U$43</c:f>
              <c:numCache>
                <c:formatCode>General</c:formatCode>
                <c:ptCount val="5"/>
                <c:pt idx="0">
                  <c:v>0</c:v>
                </c:pt>
                <c:pt idx="1">
                  <c:v>0</c:v>
                </c:pt>
                <c:pt idx="2">
                  <c:v>0</c:v>
                </c:pt>
                <c:pt idx="3">
                  <c:v>0</c:v>
                </c:pt>
                <c:pt idx="4">
                  <c:v>4</c:v>
                </c:pt>
              </c:numCache>
            </c:numRef>
          </c:val>
          <c:extLst>
            <c:ext xmlns:c16="http://schemas.microsoft.com/office/drawing/2014/chart" uri="{C3380CC4-5D6E-409C-BE32-E72D297353CC}">
              <c16:uniqueId val="{0000000A-82CF-4909-92F5-97DECF56800C}"/>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'R7'!$R$32</c:f>
          <c:strCache>
            <c:ptCount val="1"/>
            <c:pt idx="0">
              <c:v>12</c:v>
            </c:pt>
          </c:strCache>
        </c:strRef>
      </c:tx>
      <c:layout>
        <c:manualLayout>
          <c:xMode val="edge"/>
          <c:yMode val="edge"/>
          <c:x val="0.4183531645634132"/>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E825-4436-AE3B-5B54393242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E825-4436-AE3B-5B54393242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E825-4436-AE3B-5B54393242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E825-4436-AE3B-5B54393242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E825-4436-AE3B-5B54393242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'R7'!$R$33:$R$37</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E825-4436-AE3B-5B54393242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'R7'!$S$32</c:f>
          <c:strCache>
            <c:ptCount val="1"/>
            <c:pt idx="0">
              <c:v>18</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AB6-4CD3-8716-93E5605728E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AB6-4CD3-8716-93E5605728E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AB6-4CD3-8716-93E5605728E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AB6-4CD3-8716-93E5605728E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AB6-4CD3-8716-93E5605728E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'R7'!$S$33:$S$37</c:f>
              <c:numCache>
                <c:formatCode>General</c:formatCode>
                <c:ptCount val="5"/>
                <c:pt idx="0">
                  <c:v>0</c:v>
                </c:pt>
                <c:pt idx="1">
                  <c:v>0</c:v>
                </c:pt>
                <c:pt idx="2">
                  <c:v>0</c:v>
                </c:pt>
                <c:pt idx="3">
                  <c:v>0</c:v>
                </c:pt>
                <c:pt idx="4">
                  <c:v>18</c:v>
                </c:pt>
              </c:numCache>
            </c:numRef>
          </c:val>
          <c:extLst>
            <c:ext xmlns:c16="http://schemas.microsoft.com/office/drawing/2014/chart" uri="{C3380CC4-5D6E-409C-BE32-E72D297353CC}">
              <c16:uniqueId val="{0000000A-0AB6-4CD3-8716-93E5605728E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'R7'!$T$32</c:f>
          <c:strCache>
            <c:ptCount val="1"/>
            <c:pt idx="0">
              <c:v>11</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7A6-4AB9-AE8F-D55C1CBEE5F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7A6-4AB9-AE8F-D55C1CBEE5F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7A6-4AB9-AE8F-D55C1CBEE5F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7A6-4AB9-AE8F-D55C1CBEE5F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7A6-4AB9-AE8F-D55C1CBEE5F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'R7'!$T$33:$T$37</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B7A6-4AB9-AE8F-D55C1CBEE5F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'R7'!$U$32</c:f>
          <c:strCache>
            <c:ptCount val="1"/>
            <c:pt idx="0">
              <c:v>19</c:v>
            </c:pt>
          </c:strCache>
        </c:strRef>
      </c:tx>
      <c:layout>
        <c:manualLayout>
          <c:xMode val="edge"/>
          <c:yMode val="edge"/>
          <c:x val="0.4183534691512086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E2F-4A88-B8FA-9C077580AC5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E2F-4A88-B8FA-9C077580AC5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E2F-4A88-B8FA-9C077580AC5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E2F-4A88-B8FA-9C077580AC5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E2F-4A88-B8FA-9C077580AC5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'R7'!$U$33:$U$37</c:f>
              <c:numCache>
                <c:formatCode>General</c:formatCode>
                <c:ptCount val="5"/>
                <c:pt idx="0">
                  <c:v>0</c:v>
                </c:pt>
                <c:pt idx="1">
                  <c:v>0</c:v>
                </c:pt>
                <c:pt idx="2">
                  <c:v>0</c:v>
                </c:pt>
                <c:pt idx="3">
                  <c:v>0</c:v>
                </c:pt>
                <c:pt idx="4">
                  <c:v>19</c:v>
                </c:pt>
              </c:numCache>
            </c:numRef>
          </c:val>
          <c:extLst>
            <c:ext xmlns:c16="http://schemas.microsoft.com/office/drawing/2014/chart" uri="{C3380CC4-5D6E-409C-BE32-E72D297353CC}">
              <c16:uniqueId val="{0000000A-BE2F-4A88-B8FA-9C077580AC5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'R7'!$V$32</c:f>
          <c:strCache>
            <c:ptCount val="1"/>
            <c:pt idx="0">
              <c:v>17</c:v>
            </c:pt>
          </c:strCache>
        </c:strRef>
      </c:tx>
      <c:layout>
        <c:manualLayout>
          <c:xMode val="edge"/>
          <c:yMode val="edge"/>
          <c:x val="0.3998603574645051"/>
          <c:y val="0.4337729166666666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A97-4583-971C-2C4D2FC5A31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A97-4583-971C-2C4D2FC5A31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A97-4583-971C-2C4D2FC5A31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A97-4583-971C-2C4D2FC5A31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A97-4583-971C-2C4D2FC5A31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'R7'!$V$33:$V$37</c:f>
              <c:numCache>
                <c:formatCode>General</c:formatCode>
                <c:ptCount val="5"/>
                <c:pt idx="0">
                  <c:v>0</c:v>
                </c:pt>
                <c:pt idx="1">
                  <c:v>0</c:v>
                </c:pt>
                <c:pt idx="2">
                  <c:v>0</c:v>
                </c:pt>
                <c:pt idx="3">
                  <c:v>0</c:v>
                </c:pt>
                <c:pt idx="4">
                  <c:v>17</c:v>
                </c:pt>
              </c:numCache>
            </c:numRef>
          </c:val>
          <c:extLst>
            <c:ext xmlns:c16="http://schemas.microsoft.com/office/drawing/2014/chart" uri="{C3380CC4-5D6E-409C-BE32-E72D297353CC}">
              <c16:uniqueId val="{0000000A-CA97-4583-971C-2C4D2FC5A31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'R7'!$V$38</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12E-4678-A04B-BFB684DECB7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12E-4678-A04B-BFB684DECB7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12E-4678-A04B-BFB684DECB7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12E-4678-A04B-BFB684DECB7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12E-4678-A04B-BFB684DECB7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'R7'!$V$39:$V$43</c:f>
              <c:numCache>
                <c:formatCode>General</c:formatCode>
                <c:ptCount val="5"/>
                <c:pt idx="0">
                  <c:v>0</c:v>
                </c:pt>
                <c:pt idx="1">
                  <c:v>0</c:v>
                </c:pt>
                <c:pt idx="2">
                  <c:v>0</c:v>
                </c:pt>
                <c:pt idx="3">
                  <c:v>0</c:v>
                </c:pt>
                <c:pt idx="4">
                  <c:v>8</c:v>
                </c:pt>
              </c:numCache>
            </c:numRef>
          </c:val>
          <c:extLst>
            <c:ext xmlns:c16="http://schemas.microsoft.com/office/drawing/2014/chart" uri="{C3380CC4-5D6E-409C-BE32-E72D297353CC}">
              <c16:uniqueId val="{0000000A-612E-4678-A04B-BFB684DECB7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'R7'!$S$26</c:f>
          <c:strCache>
            <c:ptCount val="1"/>
            <c:pt idx="0">
              <c:v>13</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2B4-4D75-B16B-D9073CC2E4C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2B4-4D75-B16B-D9073CC2E4C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2B4-4D75-B16B-D9073CC2E4C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2B4-4D75-B16B-D9073CC2E4C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2B4-4D75-B16B-D9073CC2E4C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'R7'!$S$27:$S$31</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52B4-4D75-B16B-D9073CC2E4C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'R7'!$T$26</c:f>
          <c:strCache>
            <c:ptCount val="1"/>
            <c:pt idx="0">
              <c:v>11</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880-438A-98B7-766074361BF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880-438A-98B7-766074361BF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880-438A-98B7-766074361BF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880-438A-98B7-766074361BF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880-438A-98B7-766074361BF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'R7'!$T$27:$T$31</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2880-438A-98B7-766074361BF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'R7'!$U$26</c:f>
          <c:strCache>
            <c:ptCount val="1"/>
            <c:pt idx="0">
              <c:v>16</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FD9-42DD-80CE-F9EF18D0E6AE}"/>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FD9-42DD-80CE-F9EF18D0E6AE}"/>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FD9-42DD-80CE-F9EF18D0E6AE}"/>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FD9-42DD-80CE-F9EF18D0E6AE}"/>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FD9-42DD-80CE-F9EF18D0E6A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'R7'!$U$27:$U$31</c:f>
              <c:numCache>
                <c:formatCode>General</c:formatCode>
                <c:ptCount val="5"/>
                <c:pt idx="0">
                  <c:v>0</c:v>
                </c:pt>
                <c:pt idx="1">
                  <c:v>0</c:v>
                </c:pt>
                <c:pt idx="2">
                  <c:v>0</c:v>
                </c:pt>
                <c:pt idx="3">
                  <c:v>0</c:v>
                </c:pt>
                <c:pt idx="4">
                  <c:v>16</c:v>
                </c:pt>
              </c:numCache>
            </c:numRef>
          </c:val>
          <c:extLst>
            <c:ext xmlns:c16="http://schemas.microsoft.com/office/drawing/2014/chart" uri="{C3380CC4-5D6E-409C-BE32-E72D297353CC}">
              <c16:uniqueId val="{0000000A-DFD9-42DD-80CE-F9EF18D0E6AE}"/>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Data!$R$15</c:f>
              <c:strCache>
                <c:ptCount val="1"/>
                <c:pt idx="0">
                  <c:v>MIL0</c:v>
                </c:pt>
              </c:strCache>
            </c:strRef>
          </c:tx>
          <c:spPr>
            <a:solidFill>
              <a:srgbClr val="FDECE3"/>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Data!$R$16:$R$26</c:f>
              <c:numCache>
                <c:formatCode>General</c:formatCode>
                <c:ptCount val="11"/>
                <c:pt idx="0">
                  <c:v>0.8</c:v>
                </c:pt>
                <c:pt idx="1">
                  <c:v>0.8</c:v>
                </c:pt>
                <c:pt idx="2">
                  <c:v>0.8</c:v>
                </c:pt>
                <c:pt idx="3">
                  <c:v>0.8</c:v>
                </c:pt>
                <c:pt idx="4">
                  <c:v>0.8</c:v>
                </c:pt>
                <c:pt idx="5">
                  <c:v>0.8</c:v>
                </c:pt>
                <c:pt idx="6">
                  <c:v>0.8</c:v>
                </c:pt>
                <c:pt idx="7">
                  <c:v>0.8</c:v>
                </c:pt>
                <c:pt idx="8">
                  <c:v>0.8</c:v>
                </c:pt>
                <c:pt idx="9">
                  <c:v>0.8</c:v>
                </c:pt>
                <c:pt idx="10">
                  <c:v>0.8</c:v>
                </c:pt>
              </c:numCache>
            </c:numRef>
          </c:val>
          <c:extLst>
            <c:ext xmlns:c16="http://schemas.microsoft.com/office/drawing/2014/chart" uri="{C3380CC4-5D6E-409C-BE32-E72D297353CC}">
              <c16:uniqueId val="{00000003-69CF-43BB-AE21-7C322FD34A55}"/>
            </c:ext>
          </c:extLst>
        </c:ser>
        <c:ser>
          <c:idx val="4"/>
          <c:order val="1"/>
          <c:tx>
            <c:strRef>
              <c:f>Data!$S$15</c:f>
              <c:strCache>
                <c:ptCount val="1"/>
                <c:pt idx="0">
                  <c:v>MIL1</c:v>
                </c:pt>
              </c:strCache>
            </c:strRef>
          </c:tx>
          <c:spPr>
            <a:solidFill>
              <a:srgbClr val="E7F3FF"/>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Data!$S$16:$S$26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4-69CF-43BB-AE21-7C322FD34A55}"/>
            </c:ext>
          </c:extLst>
        </c:ser>
        <c:ser>
          <c:idx val="5"/>
          <c:order val="2"/>
          <c:tx>
            <c:strRef>
              <c:f>Data!$T$15</c:f>
              <c:strCache>
                <c:ptCount val="1"/>
                <c:pt idx="0">
                  <c:v>MIl2</c:v>
                </c:pt>
              </c:strCache>
            </c:strRef>
          </c:tx>
          <c:spPr>
            <a:solidFill>
              <a:schemeClr val="bg2">
                <a:lumMod val="20000"/>
                <a:lumOff val="8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Data!$T$16:$T$26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5-69CF-43BB-AE21-7C322FD34A55}"/>
            </c:ext>
          </c:extLst>
        </c:ser>
        <c:ser>
          <c:idx val="6"/>
          <c:order val="3"/>
          <c:tx>
            <c:strRef>
              <c:f>Data!$U$15</c:f>
              <c:strCache>
                <c:ptCount val="1"/>
                <c:pt idx="0">
                  <c:v>MIL3</c:v>
                </c:pt>
              </c:strCache>
            </c:strRef>
          </c:tx>
          <c:spPr>
            <a:solidFill>
              <a:schemeClr val="bg2">
                <a:lumMod val="40000"/>
                <a:lumOff val="6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Data!$U$16:$U$26</c:f>
              <c:numCache>
                <c:formatCode>General</c:formatCode>
                <c:ptCount val="11"/>
                <c:pt idx="0">
                  <c:v>0.5</c:v>
                </c:pt>
                <c:pt idx="1">
                  <c:v>0.5</c:v>
                </c:pt>
                <c:pt idx="2">
                  <c:v>0.5</c:v>
                </c:pt>
                <c:pt idx="3">
                  <c:v>0.5</c:v>
                </c:pt>
                <c:pt idx="4">
                  <c:v>0.5</c:v>
                </c:pt>
                <c:pt idx="5">
                  <c:v>0.5</c:v>
                </c:pt>
                <c:pt idx="6">
                  <c:v>0.5</c:v>
                </c:pt>
                <c:pt idx="7">
                  <c:v>0.5</c:v>
                </c:pt>
                <c:pt idx="8">
                  <c:v>0.5</c:v>
                </c:pt>
                <c:pt idx="9">
                  <c:v>0.5</c:v>
                </c:pt>
                <c:pt idx="10">
                  <c:v>0.5</c:v>
                </c:pt>
              </c:numCache>
            </c:numRef>
          </c:val>
          <c:extLst>
            <c:ext xmlns:c16="http://schemas.microsoft.com/office/drawing/2014/chart" uri="{C3380CC4-5D6E-409C-BE32-E72D297353CC}">
              <c16:uniqueId val="{00000006-69CF-43BB-AE21-7C322FD34A55}"/>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Data!$U$2</c:f>
              <c:strCache>
                <c:ptCount val="1"/>
                <c:pt idx="0">
                  <c:v>Edellinen</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Data!$U$3:$U$13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D8-412C-AE0C-62A8143B0BCA}"/>
            </c:ext>
          </c:extLst>
        </c:ser>
        <c:ser>
          <c:idx val="1"/>
          <c:order val="5"/>
          <c:tx>
            <c:strRef>
              <c:f>Data!$T$2</c:f>
              <c:strCache>
                <c:ptCount val="1"/>
                <c:pt idx="0">
                  <c:v>Nykytila</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Data!$T$3:$T$13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9CF-43BB-AE21-7C322FD34A55}"/>
            </c:ext>
          </c:extLst>
        </c:ser>
        <c:ser>
          <c:idx val="2"/>
          <c:order val="6"/>
          <c:tx>
            <c:strRef>
              <c:f>Data!$S$2</c:f>
              <c:strCache>
                <c:ptCount val="1"/>
                <c:pt idx="0">
                  <c:v>Kyberturvallisuuden kypsyystaso</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Data!$S$3:$S$13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9CF-43BB-AE21-7C322FD34A55}"/>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3.2"/>
          <c:min val="0"/>
        </c:scaling>
        <c:delete val="1"/>
        <c:axPos val="l"/>
        <c:numFmt formatCode="General" sourceLinked="1"/>
        <c:majorTickMark val="none"/>
        <c:minorTickMark val="none"/>
        <c:tickLblPos val="high"/>
        <c:crossAx val="1856652208"/>
        <c:crosses val="autoZero"/>
        <c:crossBetween val="between"/>
        <c:majorUnit val="1"/>
      </c:valAx>
      <c:valAx>
        <c:axId val="329287672"/>
        <c:scaling>
          <c:orientation val="minMax"/>
          <c:max val="3.2"/>
          <c:min val="0"/>
        </c:scaling>
        <c:delete val="1"/>
        <c:axPos val="l"/>
        <c:numFmt formatCode="General"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'R7'!$V$26</c:f>
          <c:strCache>
            <c:ptCount val="1"/>
            <c:pt idx="0">
              <c:v>10</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0DC-467A-BBBC-E81E8E9EDF8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0DC-467A-BBBC-E81E8E9EDF8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0DC-467A-BBBC-E81E8E9EDF8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0DC-467A-BBBC-E81E8E9EDF8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0DC-467A-BBBC-E81E8E9EDF8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'R7'!$V$27:$V$31</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50DC-467A-BBBC-E81E8E9EDF8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'R7'!$R$38</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A29-452E-9BF4-731893AD928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A29-452E-9BF4-731893AD928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A29-452E-9BF4-731893AD928D}"/>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A29-452E-9BF4-731893AD928D}"/>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A29-452E-9BF4-731893AD928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'R7'!$R$39:$R$43</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9A29-452E-9BF4-731893AD928D}"/>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'R7'!$W$26</c:f>
          <c:strCache>
            <c:ptCount val="1"/>
            <c:pt idx="0">
              <c:v>12</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A075-40F3-9DE0-5A4632A706E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A075-40F3-9DE0-5A4632A706E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075-40F3-9DE0-5A4632A706E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A075-40F3-9DE0-5A4632A706E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A075-40F3-9DE0-5A4632A706E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'R7'!$W$27:$W$31</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A075-40F3-9DE0-5A4632A706E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'R7'!$W$32</c:f>
          <c:strCache>
            <c:ptCount val="1"/>
            <c:pt idx="0">
              <c:v>13</c:v>
            </c:pt>
          </c:strCache>
        </c:strRef>
      </c:tx>
      <c:layout>
        <c:manualLayout>
          <c:xMode val="edge"/>
          <c:yMode val="edge"/>
          <c:x val="0.4368395063167048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7C-4C82-B6EC-77DECF7EAD6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7C-4C82-B6EC-77DECF7EAD6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7C-4C82-B6EC-77DECF7EAD6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7C-4C82-B6EC-77DECF7EAD6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7C-4C82-B6EC-77DECF7EAD6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'R7'!$W$33:$W$37</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0C7C-4C82-B6EC-77DECF7EAD6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'R7'!$X$26</c:f>
          <c:strCache>
            <c:ptCount val="1"/>
            <c:pt idx="0">
              <c:v>17</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CC4-4F56-8FCF-5D7E7C4506A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CC4-4F56-8FCF-5D7E7C4506A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CC4-4F56-8FCF-5D7E7C4506A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CC4-4F56-8FCF-5D7E7C4506A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CC4-4F56-8FCF-5D7E7C4506A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'R7'!$X$27:$X$31</c:f>
              <c:numCache>
                <c:formatCode>General</c:formatCode>
                <c:ptCount val="5"/>
                <c:pt idx="0">
                  <c:v>0</c:v>
                </c:pt>
                <c:pt idx="1">
                  <c:v>0</c:v>
                </c:pt>
                <c:pt idx="2">
                  <c:v>0</c:v>
                </c:pt>
                <c:pt idx="3">
                  <c:v>0</c:v>
                </c:pt>
                <c:pt idx="4">
                  <c:v>17</c:v>
                </c:pt>
              </c:numCache>
            </c:numRef>
          </c:val>
          <c:extLst>
            <c:ext xmlns:c16="http://schemas.microsoft.com/office/drawing/2014/chart" uri="{C3380CC4-5D6E-409C-BE32-E72D297353CC}">
              <c16:uniqueId val="{0000000A-2CC4-4F56-8FCF-5D7E7C4506A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'R7'!$X$32</c:f>
          <c:strCache>
            <c:ptCount val="1"/>
            <c:pt idx="0">
              <c:v>23</c:v>
            </c:pt>
          </c:strCache>
        </c:strRef>
      </c:tx>
      <c:layout>
        <c:manualLayout>
          <c:xMode val="edge"/>
          <c:yMode val="edge"/>
          <c:x val="0.3998409352772635"/>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A6C-4C44-8033-F745317C8A5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A6C-4C44-8033-F745317C8A5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A6C-4C44-8033-F745317C8A5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A6C-4C44-8033-F745317C8A5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A6C-4C44-8033-F745317C8A5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'R7'!$X$33:$X$37</c:f>
              <c:numCache>
                <c:formatCode>General</c:formatCode>
                <c:ptCount val="5"/>
                <c:pt idx="0">
                  <c:v>0</c:v>
                </c:pt>
                <c:pt idx="1">
                  <c:v>0</c:v>
                </c:pt>
                <c:pt idx="2">
                  <c:v>0</c:v>
                </c:pt>
                <c:pt idx="3">
                  <c:v>0</c:v>
                </c:pt>
                <c:pt idx="4">
                  <c:v>23</c:v>
                </c:pt>
              </c:numCache>
            </c:numRef>
          </c:val>
          <c:extLst>
            <c:ext xmlns:c16="http://schemas.microsoft.com/office/drawing/2014/chart" uri="{C3380CC4-5D6E-409C-BE32-E72D297353CC}">
              <c16:uniqueId val="{0000000A-DA6C-4C44-8033-F745317C8A5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'R7'!$Y$26</c:f>
          <c:strCache>
            <c:ptCount val="1"/>
            <c:pt idx="0">
              <c:v>11</c:v>
            </c:pt>
          </c:strCache>
        </c:strRef>
      </c:tx>
      <c:layout>
        <c:manualLayout>
          <c:xMode val="edge"/>
          <c:yMode val="edge"/>
          <c:x val="0.4461367018756041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17E-46D4-AAD5-C6B907DEC8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17E-46D4-AAD5-C6B907DEC8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17E-46D4-AAD5-C6B907DEC8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17E-46D4-AAD5-C6B907DEC8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17E-46D4-AAD5-C6B907DEC8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'R7'!$Y$27:$Y$31</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917E-46D4-AAD5-C6B907DEC80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'R7'!$Y$32</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F5A-428D-B3D8-6508DC84352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F5A-428D-B3D8-6508DC84352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F5A-428D-B3D8-6508DC84352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F5A-428D-B3D8-6508DC84352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F5A-428D-B3D8-6508DC84352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'R7'!$Y$33:$Y$37</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9F5A-428D-B3D8-6508DC84352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'R7'!$Z$26</c:f>
          <c:strCache>
            <c:ptCount val="1"/>
            <c:pt idx="0">
              <c:v>13</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48F-40FB-87A7-C179899E869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48F-40FB-87A7-C179899E869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48F-40FB-87A7-C179899E869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48F-40FB-87A7-C179899E869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48F-40FB-87A7-C179899E869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'R7'!$Z$27:$Z$31</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848F-40FB-87A7-C179899E869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'R7'!$Z$32</c:f>
          <c:strCache>
            <c:ptCount val="1"/>
            <c:pt idx="0">
              <c:v>12</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F172-4272-9EC1-77C0DE934EB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F172-4272-9EC1-77C0DE934EB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F172-4272-9EC1-77C0DE934EB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F172-4272-9EC1-77C0DE934EB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F172-4272-9EC1-77C0DE934EB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'R7'!$Z$33:$Z$37</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F172-4272-9EC1-77C0DE934EB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Data!$S$32</c:f>
              <c:strCache>
                <c:ptCount val="1"/>
                <c:pt idx="0">
                  <c:v>1</c:v>
                </c:pt>
              </c:strCache>
            </c:strRef>
          </c:tx>
          <c:spPr>
            <a:solidFill>
              <a:schemeClr val="accent1"/>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Data!$S$33:$S$43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17-4BED-B6D3-CB382630B127}"/>
            </c:ext>
          </c:extLst>
        </c:ser>
        <c:ser>
          <c:idx val="1"/>
          <c:order val="1"/>
          <c:tx>
            <c:strRef>
              <c:f>Data!$T$32</c:f>
              <c:strCache>
                <c:ptCount val="1"/>
                <c:pt idx="0">
                  <c:v>2</c:v>
                </c:pt>
              </c:strCache>
            </c:strRef>
          </c:tx>
          <c:spPr>
            <a:solidFill>
              <a:schemeClr val="accent2"/>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Data!$T$33:$T$43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717-4BED-B6D3-CB382630B127}"/>
            </c:ext>
          </c:extLst>
        </c:ser>
        <c:ser>
          <c:idx val="2"/>
          <c:order val="2"/>
          <c:tx>
            <c:strRef>
              <c:f>Data!$U$32</c:f>
              <c:strCache>
                <c:ptCount val="1"/>
                <c:pt idx="0">
                  <c:v>3</c:v>
                </c:pt>
              </c:strCache>
            </c:strRef>
          </c:tx>
          <c:spPr>
            <a:solidFill>
              <a:schemeClr val="accent3"/>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Data!$U$33:$U$43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717-4BED-B6D3-CB382630B127}"/>
            </c:ext>
          </c:extLst>
        </c:ser>
        <c:dLbls>
          <c:showLegendKey val="0"/>
          <c:showVal val="0"/>
          <c:showCatName val="0"/>
          <c:showSerName val="0"/>
          <c:showPercent val="0"/>
          <c:showBubbleSize val="0"/>
        </c:dLbls>
        <c:gapWidth val="219"/>
        <c:overlap val="-27"/>
        <c:axId val="949963520"/>
        <c:axId val="949963848"/>
      </c:barChart>
      <c:catAx>
        <c:axId val="9499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'R7'!$AA$26</c:f>
          <c:strCache>
            <c:ptCount val="1"/>
            <c:pt idx="0">
              <c:v>22</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05B-4A50-BA45-BFE874804E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05B-4A50-BA45-BFE874804E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05B-4A50-BA45-BFE874804E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05B-4A50-BA45-BFE874804E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05B-4A50-BA45-BFE874804E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'R7'!$AA$27:$AA$31</c:f>
              <c:numCache>
                <c:formatCode>General</c:formatCode>
                <c:ptCount val="5"/>
                <c:pt idx="0">
                  <c:v>0</c:v>
                </c:pt>
                <c:pt idx="1">
                  <c:v>0</c:v>
                </c:pt>
                <c:pt idx="2">
                  <c:v>0</c:v>
                </c:pt>
                <c:pt idx="3">
                  <c:v>0</c:v>
                </c:pt>
                <c:pt idx="4">
                  <c:v>22</c:v>
                </c:pt>
              </c:numCache>
            </c:numRef>
          </c:val>
          <c:extLst>
            <c:ext xmlns:c16="http://schemas.microsoft.com/office/drawing/2014/chart" uri="{C3380CC4-5D6E-409C-BE32-E72D297353CC}">
              <c16:uniqueId val="{0000000A-605B-4A50-BA45-BFE874804E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'R7'!$AA$32</c:f>
          <c:strCache>
            <c:ptCount val="1"/>
            <c:pt idx="0">
              <c:v>30</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A91-46E0-A5EF-2C8BFEDFD28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A91-46E0-A5EF-2C8BFEDFD28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A91-46E0-A5EF-2C8BFEDFD28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A91-46E0-A5EF-2C8BFEDFD28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A91-46E0-A5EF-2C8BFEDFD28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'R7'!$AA$33:$AA$37</c:f>
              <c:numCache>
                <c:formatCode>General</c:formatCode>
                <c:ptCount val="5"/>
                <c:pt idx="0">
                  <c:v>0</c:v>
                </c:pt>
                <c:pt idx="1">
                  <c:v>0</c:v>
                </c:pt>
                <c:pt idx="2">
                  <c:v>0</c:v>
                </c:pt>
                <c:pt idx="3">
                  <c:v>0</c:v>
                </c:pt>
                <c:pt idx="4">
                  <c:v>30</c:v>
                </c:pt>
              </c:numCache>
            </c:numRef>
          </c:val>
          <c:extLst>
            <c:ext xmlns:c16="http://schemas.microsoft.com/office/drawing/2014/chart" uri="{C3380CC4-5D6E-409C-BE32-E72D297353CC}">
              <c16:uniqueId val="{0000000A-2A91-46E0-A5EF-2C8BFEDFD28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'R7'!$W$38</c:f>
          <c:strCache>
            <c:ptCount val="1"/>
            <c:pt idx="0">
              <c:v>3</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ADC-46DA-B452-2417A0912E1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ADC-46DA-B452-2417A0912E1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ADC-46DA-B452-2417A0912E1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ADC-46DA-B452-2417A0912E1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ADC-46DA-B452-2417A0912E1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'R7'!$W$39:$W$43</c:f>
              <c:numCache>
                <c:formatCode>General</c:formatCode>
                <c:ptCount val="5"/>
                <c:pt idx="0">
                  <c:v>0</c:v>
                </c:pt>
                <c:pt idx="1">
                  <c:v>0</c:v>
                </c:pt>
                <c:pt idx="2">
                  <c:v>0</c:v>
                </c:pt>
                <c:pt idx="3">
                  <c:v>0</c:v>
                </c:pt>
                <c:pt idx="4">
                  <c:v>3</c:v>
                </c:pt>
              </c:numCache>
            </c:numRef>
          </c:val>
          <c:extLst>
            <c:ext xmlns:c16="http://schemas.microsoft.com/office/drawing/2014/chart" uri="{C3380CC4-5D6E-409C-BE32-E72D297353CC}">
              <c16:uniqueId val="{0000000A-BADC-46DA-B452-2417A0912E1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5D2-43A4-B2D5-D9590FF6C9A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5D2-43A4-B2D5-D9590FF6C9A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5D2-43A4-B2D5-D9590FF6C9A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5D2-43A4-B2D5-D9590FF6C9A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5D2-43A4-B2D5-D9590FF6C9A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'R7'!$Y$39:$Y$43</c:f>
              <c:numCache>
                <c:formatCode>General</c:formatCode>
                <c:ptCount val="5"/>
                <c:pt idx="0">
                  <c:v>0</c:v>
                </c:pt>
                <c:pt idx="1">
                  <c:v>0</c:v>
                </c:pt>
                <c:pt idx="2">
                  <c:v>0</c:v>
                </c:pt>
                <c:pt idx="3">
                  <c:v>0</c:v>
                </c:pt>
                <c:pt idx="4">
                  <c:v>4</c:v>
                </c:pt>
              </c:numCache>
            </c:numRef>
          </c:val>
          <c:extLst>
            <c:ext xmlns:c16="http://schemas.microsoft.com/office/drawing/2014/chart" uri="{C3380CC4-5D6E-409C-BE32-E72D297353CC}">
              <c16:uniqueId val="{0000000A-C5D2-43A4-B2D5-D9590FF6C9A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'R7'!$Z$38</c:f>
          <c:strCache>
            <c:ptCount val="1"/>
            <c:pt idx="0">
              <c:v>7</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04F-4059-A184-516D23C9F1F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04F-4059-A184-516D23C9F1F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04F-4059-A184-516D23C9F1F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04F-4059-A184-516D23C9F1F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04F-4059-A184-516D23C9F1F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'R7'!$Z$39:$Z$43</c:f>
              <c:numCache>
                <c:formatCode>General</c:formatCode>
                <c:ptCount val="5"/>
                <c:pt idx="0">
                  <c:v>0</c:v>
                </c:pt>
                <c:pt idx="1">
                  <c:v>0</c:v>
                </c:pt>
                <c:pt idx="2">
                  <c:v>0</c:v>
                </c:pt>
                <c:pt idx="3">
                  <c:v>0</c:v>
                </c:pt>
                <c:pt idx="4">
                  <c:v>7</c:v>
                </c:pt>
              </c:numCache>
            </c:numRef>
          </c:val>
          <c:extLst>
            <c:ext xmlns:c16="http://schemas.microsoft.com/office/drawing/2014/chart" uri="{C3380CC4-5D6E-409C-BE32-E72D297353CC}">
              <c16:uniqueId val="{0000000A-C04F-4059-A184-516D23C9F1FA}"/>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'R7'!$AA$38</c:f>
          <c:strCache>
            <c:ptCount val="1"/>
            <c:pt idx="0">
              <c:v>6</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7BC-4DE9-80B1-70C7A0F7E65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7BC-4DE9-80B1-70C7A0F7E65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7BC-4DE9-80B1-70C7A0F7E65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7BC-4DE9-80B1-70C7A0F7E65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7BC-4DE9-80B1-70C7A0F7E65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'R7'!$AA$39:$AA$43</c:f>
              <c:numCache>
                <c:formatCode>General</c:formatCode>
                <c:ptCount val="5"/>
                <c:pt idx="0">
                  <c:v>0</c:v>
                </c:pt>
                <c:pt idx="1">
                  <c:v>0</c:v>
                </c:pt>
                <c:pt idx="2">
                  <c:v>0</c:v>
                </c:pt>
                <c:pt idx="3">
                  <c:v>0</c:v>
                </c:pt>
                <c:pt idx="4">
                  <c:v>6</c:v>
                </c:pt>
              </c:numCache>
            </c:numRef>
          </c:val>
          <c:extLst>
            <c:ext xmlns:c16="http://schemas.microsoft.com/office/drawing/2014/chart" uri="{C3380CC4-5D6E-409C-BE32-E72D297353CC}">
              <c16:uniqueId val="{0000000A-D7BC-4DE9-80B1-70C7A0F7E65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'R7'!$X$38</c:f>
          <c:strCache>
            <c:ptCount val="1"/>
            <c:pt idx="0">
              <c:v>9</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190-4F8A-8AC6-6738256FD0F3}"/>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190-4F8A-8AC6-6738256FD0F3}"/>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190-4F8A-8AC6-6738256FD0F3}"/>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190-4F8A-8AC6-6738256FD0F3}"/>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190-4F8A-8AC6-6738256FD0F3}"/>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'R7'!$X$39:$X$43</c:f>
              <c:numCache>
                <c:formatCode>General</c:formatCode>
                <c:ptCount val="5"/>
                <c:pt idx="0">
                  <c:v>0</c:v>
                </c:pt>
                <c:pt idx="1">
                  <c:v>0</c:v>
                </c:pt>
                <c:pt idx="2">
                  <c:v>0</c:v>
                </c:pt>
                <c:pt idx="3">
                  <c:v>0</c:v>
                </c:pt>
                <c:pt idx="4">
                  <c:v>9</c:v>
                </c:pt>
              </c:numCache>
            </c:numRef>
          </c:val>
          <c:extLst>
            <c:ext xmlns:c16="http://schemas.microsoft.com/office/drawing/2014/chart" uri="{C3380CC4-5D6E-409C-BE32-E72D297353CC}">
              <c16:uniqueId val="{0000000A-C190-4F8A-8AC6-6738256FD0F3}"/>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'R7'!$AB$26</c:f>
          <c:strCache>
            <c:ptCount val="1"/>
            <c:pt idx="0">
              <c:v>9</c:v>
            </c:pt>
          </c:strCache>
        </c:strRef>
      </c:tx>
      <c:layout>
        <c:manualLayout>
          <c:xMode val="edge"/>
          <c:yMode val="edge"/>
          <c:x val="0.464540605242069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1FF8-4ADE-A696-A5A29D1F778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1FF8-4ADE-A696-A5A29D1F778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FF8-4ADE-A696-A5A29D1F778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1FF8-4ADE-A696-A5A29D1F778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1FF8-4ADE-A696-A5A29D1F778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'R7'!$AB$27:$AB$31</c:f>
              <c:numCache>
                <c:formatCode>General</c:formatCode>
                <c:ptCount val="5"/>
                <c:pt idx="0">
                  <c:v>0</c:v>
                </c:pt>
                <c:pt idx="1">
                  <c:v>0</c:v>
                </c:pt>
                <c:pt idx="2">
                  <c:v>0</c:v>
                </c:pt>
                <c:pt idx="3">
                  <c:v>0</c:v>
                </c:pt>
                <c:pt idx="4">
                  <c:v>9</c:v>
                </c:pt>
              </c:numCache>
            </c:numRef>
          </c:val>
          <c:extLst>
            <c:ext xmlns:c16="http://schemas.microsoft.com/office/drawing/2014/chart" uri="{C3380CC4-5D6E-409C-BE32-E72D297353CC}">
              <c16:uniqueId val="{0000000A-1FF8-4ADE-A696-A5A29D1F778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'R7'!$AB$32</c:f>
          <c:strCache>
            <c:ptCount val="1"/>
            <c:pt idx="0">
              <c:v>13</c:v>
            </c:pt>
          </c:strCache>
        </c:strRef>
      </c:tx>
      <c:layout>
        <c:manualLayout>
          <c:xMode val="edge"/>
          <c:yMode val="edge"/>
          <c:x val="0.40909057803712384"/>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3A-4F77-ABD1-4E0A7087FB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3A-4F77-ABD1-4E0A7087FB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3A-4F77-ABD1-4E0A7087FB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3A-4F77-ABD1-4E0A7087FB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3A-4F77-ABD1-4E0A7087FB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'R7'!$AB$33:$AB$37</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0C3A-4F77-ABD1-4E0A7087FB8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'R7'!$AB$38</c:f>
          <c:strCache>
            <c:ptCount val="1"/>
            <c:pt idx="0">
              <c:v>2</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4102-4C44-B8F4-6C96A38200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102-4C44-B8F4-6C96A38200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4102-4C44-B8F4-6C96A38200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4102-4C44-B8F4-6C96A38200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4102-4C44-B8F4-6C96A38200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'R7'!$AB$39:$AB$43</c:f>
              <c:numCache>
                <c:formatCode>General</c:formatCode>
                <c:ptCount val="5"/>
                <c:pt idx="0">
                  <c:v>0</c:v>
                </c:pt>
                <c:pt idx="1">
                  <c:v>0</c:v>
                </c:pt>
                <c:pt idx="2">
                  <c:v>0</c:v>
                </c:pt>
                <c:pt idx="3">
                  <c:v>0</c:v>
                </c:pt>
                <c:pt idx="4">
                  <c:v>2</c:v>
                </c:pt>
              </c:numCache>
            </c:numRef>
          </c:val>
          <c:extLst>
            <c:ext xmlns:c16="http://schemas.microsoft.com/office/drawing/2014/chart" uri="{C3380CC4-5D6E-409C-BE32-E72D297353CC}">
              <c16:uniqueId val="{0000000A-4102-4C44-B8F4-6C96A3820087}"/>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radarChart>
        <c:radarStyle val="marker"/>
        <c:varyColors val="0"/>
        <c:ser>
          <c:idx val="0"/>
          <c:order val="0"/>
          <c:tx>
            <c:strRef>
              <c:f>Data!$S$32</c:f>
              <c:strCache>
                <c:ptCount val="1"/>
                <c:pt idx="0">
                  <c:v>1</c:v>
                </c:pt>
              </c:strCache>
            </c:strRef>
          </c:tx>
          <c:spPr>
            <a:ln w="28575" cap="rnd">
              <a:solidFill>
                <a:schemeClr val="accent1"/>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Data!$S$33:$S$43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A2B-4EBE-9688-10A2E9A245F6}"/>
            </c:ext>
          </c:extLst>
        </c:ser>
        <c:ser>
          <c:idx val="1"/>
          <c:order val="1"/>
          <c:tx>
            <c:strRef>
              <c:f>Data!$T$32</c:f>
              <c:strCache>
                <c:ptCount val="1"/>
                <c:pt idx="0">
                  <c:v>2</c:v>
                </c:pt>
              </c:strCache>
            </c:strRef>
          </c:tx>
          <c:spPr>
            <a:ln w="28575" cap="rnd">
              <a:solidFill>
                <a:schemeClr val="accent2"/>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Data!$T$33:$T$43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A2B-4EBE-9688-10A2E9A245F6}"/>
            </c:ext>
          </c:extLst>
        </c:ser>
        <c:ser>
          <c:idx val="2"/>
          <c:order val="2"/>
          <c:tx>
            <c:strRef>
              <c:f>Data!$U$32</c:f>
              <c:strCache>
                <c:ptCount val="1"/>
                <c:pt idx="0">
                  <c:v>3</c:v>
                </c:pt>
              </c:strCache>
            </c:strRef>
          </c:tx>
          <c:spPr>
            <a:ln w="28575" cap="rnd">
              <a:solidFill>
                <a:schemeClr val="accent3"/>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Data!$U$33:$U$43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A2B-4EBE-9688-10A2E9A245F6}"/>
            </c:ext>
          </c:extLst>
        </c:ser>
        <c:dLbls>
          <c:showLegendKey val="0"/>
          <c:showVal val="0"/>
          <c:showCatName val="0"/>
          <c:showSerName val="0"/>
          <c:showPercent val="0"/>
          <c:showBubbleSize val="0"/>
        </c:dLbls>
        <c:axId val="949963520"/>
        <c:axId val="949963848"/>
      </c:radarChart>
      <c:catAx>
        <c:axId val="949963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'R7'!$V$26</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'R7'!$W$26</c:f>
          <c:strCache>
            <c:ptCount val="1"/>
            <c:pt idx="0">
              <c:v>12</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'R7'!$R$26</c:f>
          <c:strCache>
            <c:ptCount val="1"/>
            <c:pt idx="0">
              <c:v>5</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2.3817839033954478E-2"/>
          <c:y val="5.3420138888888899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7FC5-431B-9D57-A22A0AF469C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7FC5-431B-9D57-A22A0AF469C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FC5-431B-9D57-A22A0AF469C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7FC5-431B-9D57-A22A0AF469C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7FC5-431B-9D57-A22A0AF469C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'R7'!$R$27:$R$31</c:f>
              <c:numCache>
                <c:formatCode>General</c:formatCode>
                <c:ptCount val="5"/>
                <c:pt idx="0">
                  <c:v>0</c:v>
                </c:pt>
                <c:pt idx="1">
                  <c:v>0</c:v>
                </c:pt>
                <c:pt idx="2">
                  <c:v>0</c:v>
                </c:pt>
                <c:pt idx="3">
                  <c:v>0</c:v>
                </c:pt>
                <c:pt idx="4">
                  <c:v>5</c:v>
                </c:pt>
              </c:numCache>
            </c:numRef>
          </c:val>
          <c:extLst>
            <c:ext xmlns:c16="http://schemas.microsoft.com/office/drawing/2014/chart" uri="{C3380CC4-5D6E-409C-BE32-E72D297353CC}">
              <c16:uniqueId val="{0000000A-7FC5-431B-9D57-A22A0AF469C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'R7'!$S$38</c:f>
          <c:strCache>
            <c:ptCount val="1"/>
            <c:pt idx="0">
              <c:v>5</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8AA-4DE6-B737-055536C4D7F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8AA-4DE6-B737-055536C4D7F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8AA-4DE6-B737-055536C4D7F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8AA-4DE6-B737-055536C4D7F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8AA-4DE6-B737-055536C4D7F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'R7'!$S$39:$S$43</c:f>
              <c:numCache>
                <c:formatCode>General</c:formatCode>
                <c:ptCount val="5"/>
                <c:pt idx="0">
                  <c:v>0</c:v>
                </c:pt>
                <c:pt idx="1">
                  <c:v>0</c:v>
                </c:pt>
                <c:pt idx="2">
                  <c:v>0</c:v>
                </c:pt>
                <c:pt idx="3">
                  <c:v>0</c:v>
                </c:pt>
                <c:pt idx="4">
                  <c:v>5</c:v>
                </c:pt>
              </c:numCache>
            </c:numRef>
          </c:val>
          <c:extLst>
            <c:ext xmlns:c16="http://schemas.microsoft.com/office/drawing/2014/chart" uri="{C3380CC4-5D6E-409C-BE32-E72D297353CC}">
              <c16:uniqueId val="{0000000A-98AA-4DE6-B737-055536C4D7F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'R7'!$T$38</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332-4607-86FE-E91BF1AECCA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332-4607-86FE-E91BF1AECCA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332-4607-86FE-E91BF1AECCA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332-4607-86FE-E91BF1AECCA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332-4607-86FE-E91BF1AECCA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'R7'!$T$39:$T$43</c:f>
              <c:numCache>
                <c:formatCode>General</c:formatCode>
                <c:ptCount val="5"/>
                <c:pt idx="0">
                  <c:v>0</c:v>
                </c:pt>
                <c:pt idx="1">
                  <c:v>0</c:v>
                </c:pt>
                <c:pt idx="2">
                  <c:v>0</c:v>
                </c:pt>
                <c:pt idx="3">
                  <c:v>0</c:v>
                </c:pt>
                <c:pt idx="4">
                  <c:v>8</c:v>
                </c:pt>
              </c:numCache>
            </c:numRef>
          </c:val>
          <c:extLst>
            <c:ext xmlns:c16="http://schemas.microsoft.com/office/drawing/2014/chart" uri="{C3380CC4-5D6E-409C-BE32-E72D297353CC}">
              <c16:uniqueId val="{0000000A-D332-4607-86FE-E91BF1AECCA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 Type="http://schemas.openxmlformats.org/officeDocument/2006/relationships/chart" Target="../charts/chart7.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36" Type="http://schemas.openxmlformats.org/officeDocument/2006/relationships/image" Target="../media/image9.jpeg"/><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 Id="rId8" Type="http://schemas.openxmlformats.org/officeDocument/2006/relationships/chart" Target="../charts/chart12.xml"/></Relationships>
</file>

<file path=xl/drawings/_rels/drawing2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8</xdr:col>
      <xdr:colOff>2050635</xdr:colOff>
      <xdr:row>1</xdr:row>
      <xdr:rowOff>90489</xdr:rowOff>
    </xdr:from>
    <xdr:to>
      <xdr:col>11</xdr:col>
      <xdr:colOff>72748</xdr:colOff>
      <xdr:row>4</xdr:row>
      <xdr:rowOff>1233</xdr:rowOff>
    </xdr:to>
    <xdr:pic>
      <xdr:nvPicPr>
        <xdr:cNvPr id="4" name="Picture 3">
          <a:extLst>
            <a:ext uri="{FF2B5EF4-FFF2-40B4-BE49-F238E27FC236}">
              <a16:creationId xmlns:a16="http://schemas.microsoft.com/office/drawing/2014/main" id="{A9856A64-A41E-4E76-A25F-14B6DABC5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4448" y="233364"/>
          <a:ext cx="1437460" cy="5062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1158875</xdr:colOff>
      <xdr:row>1</xdr:row>
      <xdr:rowOff>174625</xdr:rowOff>
    </xdr:from>
    <xdr:to>
      <xdr:col>10</xdr:col>
      <xdr:colOff>873580</xdr:colOff>
      <xdr:row>3</xdr:row>
      <xdr:rowOff>187128</xdr:rowOff>
    </xdr:to>
    <xdr:pic>
      <xdr:nvPicPr>
        <xdr:cNvPr id="3" name="Picture 2">
          <a:extLst>
            <a:ext uri="{FF2B5EF4-FFF2-40B4-BE49-F238E27FC236}">
              <a16:creationId xmlns:a16="http://schemas.microsoft.com/office/drawing/2014/main" id="{185FBAAC-E2D4-49BF-BD8A-68309D8A1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4875" y="317500"/>
          <a:ext cx="1436190" cy="5049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1190625</xdr:colOff>
      <xdr:row>1</xdr:row>
      <xdr:rowOff>111125</xdr:rowOff>
    </xdr:from>
    <xdr:to>
      <xdr:col>11</xdr:col>
      <xdr:colOff>2995</xdr:colOff>
      <xdr:row>3</xdr:row>
      <xdr:rowOff>116008</xdr:rowOff>
    </xdr:to>
    <xdr:pic>
      <xdr:nvPicPr>
        <xdr:cNvPr id="4" name="Picture 3">
          <a:extLst>
            <a:ext uri="{FF2B5EF4-FFF2-40B4-BE49-F238E27FC236}">
              <a16:creationId xmlns:a16="http://schemas.microsoft.com/office/drawing/2014/main" id="{70BC670D-DE65-4FA3-A813-D24A5E7AD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6625" y="254000"/>
          <a:ext cx="1436190" cy="5049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1158875</xdr:colOff>
      <xdr:row>1</xdr:row>
      <xdr:rowOff>142875</xdr:rowOff>
    </xdr:from>
    <xdr:to>
      <xdr:col>10</xdr:col>
      <xdr:colOff>873580</xdr:colOff>
      <xdr:row>3</xdr:row>
      <xdr:rowOff>149028</xdr:rowOff>
    </xdr:to>
    <xdr:pic>
      <xdr:nvPicPr>
        <xdr:cNvPr id="3" name="Picture 2">
          <a:extLst>
            <a:ext uri="{FF2B5EF4-FFF2-40B4-BE49-F238E27FC236}">
              <a16:creationId xmlns:a16="http://schemas.microsoft.com/office/drawing/2014/main" id="{050FEE46-303B-4AB5-84E1-B1C5703F0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4875" y="285750"/>
          <a:ext cx="1436190" cy="5049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730250</xdr:colOff>
      <xdr:row>1</xdr:row>
      <xdr:rowOff>87313</xdr:rowOff>
    </xdr:from>
    <xdr:to>
      <xdr:col>12</xdr:col>
      <xdr:colOff>37920</xdr:colOff>
      <xdr:row>2</xdr:row>
      <xdr:rowOff>283966</xdr:rowOff>
    </xdr:to>
    <xdr:pic>
      <xdr:nvPicPr>
        <xdr:cNvPr id="4" name="Picture 3">
          <a:extLst>
            <a:ext uri="{FF2B5EF4-FFF2-40B4-BE49-F238E27FC236}">
              <a16:creationId xmlns:a16="http://schemas.microsoft.com/office/drawing/2014/main" id="{A9EC6C76-3093-4240-B72F-1A3A19A1B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00" y="230188"/>
          <a:ext cx="1434920" cy="5062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9</xdr:col>
      <xdr:colOff>1272643</xdr:colOff>
      <xdr:row>6</xdr:row>
      <xdr:rowOff>3750972</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2094518</xdr:colOff>
      <xdr:row>7</xdr:row>
      <xdr:rowOff>66731</xdr:rowOff>
    </xdr:from>
    <xdr:to>
      <xdr:col>4</xdr:col>
      <xdr:colOff>2274518</xdr:colOff>
      <xdr:row>7</xdr:row>
      <xdr:rowOff>246731</xdr:rowOff>
    </xdr:to>
    <xdr:sp macro="" textlink="Parameters!B11">
      <xdr:nvSpPr>
        <xdr:cNvPr id="8" name="Rectangle 7">
          <a:extLst>
            <a:ext uri="{FF2B5EF4-FFF2-40B4-BE49-F238E27FC236}">
              <a16:creationId xmlns:a16="http://schemas.microsoft.com/office/drawing/2014/main" id="{00000000-0008-0000-0F00-000008000000}"/>
            </a:ext>
          </a:extLst>
        </xdr:cNvPr>
        <xdr:cNvSpPr/>
      </xdr:nvSpPr>
      <xdr:spPr>
        <a:xfrm>
          <a:off x="2856518" y="5470004"/>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a:solidFill>
              <a:srgbClr val="0058B1"/>
            </a:solidFill>
            <a:latin typeface="+mj-lt"/>
          </a:endParaRPr>
        </a:p>
      </xdr:txBody>
    </xdr:sp>
    <xdr:clientData/>
  </xdr:twoCellAnchor>
  <xdr:twoCellAnchor>
    <xdr:from>
      <xdr:col>8</xdr:col>
      <xdr:colOff>590925</xdr:colOff>
      <xdr:row>7</xdr:row>
      <xdr:rowOff>66731</xdr:rowOff>
    </xdr:from>
    <xdr:to>
      <xdr:col>8</xdr:col>
      <xdr:colOff>777644</xdr:colOff>
      <xdr:row>7</xdr:row>
      <xdr:rowOff>246731</xdr:rowOff>
    </xdr:to>
    <xdr:sp macro="" textlink="Parameters!B12">
      <xdr:nvSpPr>
        <xdr:cNvPr id="9" name="Rectangle 8">
          <a:extLst>
            <a:ext uri="{FF2B5EF4-FFF2-40B4-BE49-F238E27FC236}">
              <a16:creationId xmlns:a16="http://schemas.microsoft.com/office/drawing/2014/main" id="{00000000-0008-0000-0F00-000009000000}"/>
            </a:ext>
          </a:extLst>
        </xdr:cNvPr>
        <xdr:cNvSpPr/>
      </xdr:nvSpPr>
      <xdr:spPr>
        <a:xfrm>
          <a:off x="5324561" y="5470004"/>
          <a:ext cx="186719"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a:solidFill>
              <a:srgbClr val="0058B1"/>
            </a:solidFill>
            <a:latin typeface="+mj-lt"/>
          </a:endParaRPr>
        </a:p>
      </xdr:txBody>
    </xdr:sp>
    <xdr:clientData/>
  </xdr:twoCellAnchor>
  <xdr:twoCellAnchor>
    <xdr:from>
      <xdr:col>8</xdr:col>
      <xdr:colOff>3660253</xdr:colOff>
      <xdr:row>7</xdr:row>
      <xdr:rowOff>66731</xdr:rowOff>
    </xdr:from>
    <xdr:to>
      <xdr:col>8</xdr:col>
      <xdr:colOff>3840253</xdr:colOff>
      <xdr:row>7</xdr:row>
      <xdr:rowOff>246731</xdr:rowOff>
    </xdr:to>
    <xdr:sp macro="" textlink="Parameters!B13">
      <xdr:nvSpPr>
        <xdr:cNvPr id="10" name="Rectangle 9">
          <a:extLst>
            <a:ext uri="{FF2B5EF4-FFF2-40B4-BE49-F238E27FC236}">
              <a16:creationId xmlns:a16="http://schemas.microsoft.com/office/drawing/2014/main" id="{00000000-0008-0000-0F00-00000A000000}"/>
            </a:ext>
          </a:extLst>
        </xdr:cNvPr>
        <xdr:cNvSpPr/>
      </xdr:nvSpPr>
      <xdr:spPr>
        <a:xfrm>
          <a:off x="8393889" y="5470004"/>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a:solidFill>
              <a:srgbClr val="0058B1"/>
            </a:solidFill>
            <a:latin typeface="+mj-lt"/>
          </a:endParaRPr>
        </a:p>
      </xdr:txBody>
    </xdr:sp>
    <xdr:clientData/>
  </xdr:twoCellAnchor>
  <xdr:twoCellAnchor>
    <xdr:from>
      <xdr:col>10</xdr:col>
      <xdr:colOff>52946</xdr:colOff>
      <xdr:row>6</xdr:row>
      <xdr:rowOff>2922311</xdr:rowOff>
    </xdr:from>
    <xdr:to>
      <xdr:col>10</xdr:col>
      <xdr:colOff>170326</xdr:colOff>
      <xdr:row>6</xdr:row>
      <xdr:rowOff>3282311</xdr:rowOff>
    </xdr:to>
    <xdr:sp macro="" textlink="">
      <xdr:nvSpPr>
        <xdr:cNvPr id="11" name="Rectangle 10">
          <a:extLst>
            <a:ext uri="{FF2B5EF4-FFF2-40B4-BE49-F238E27FC236}">
              <a16:creationId xmlns:a16="http://schemas.microsoft.com/office/drawing/2014/main" id="{00000000-0008-0000-0F00-00000B000000}"/>
            </a:ext>
          </a:extLst>
        </xdr:cNvPr>
        <xdr:cNvSpPr/>
      </xdr:nvSpPr>
      <xdr:spPr>
        <a:xfrm>
          <a:off x="10847946" y="4515584"/>
          <a:ext cx="11738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200" b="1" dirty="0" err="1">
              <a:solidFill>
                <a:schemeClr val="tx1">
                  <a:lumMod val="50000"/>
                  <a:lumOff val="50000"/>
                </a:schemeClr>
              </a:solidFill>
              <a:latin typeface="+mj-lt"/>
            </a:rPr>
            <a:t>0</a:t>
          </a:r>
        </a:p>
      </xdr:txBody>
    </xdr:sp>
    <xdr:clientData/>
  </xdr:twoCellAnchor>
  <xdr:twoCellAnchor>
    <xdr:from>
      <xdr:col>8</xdr:col>
      <xdr:colOff>5704447</xdr:colOff>
      <xdr:row>6</xdr:row>
      <xdr:rowOff>1977069</xdr:rowOff>
    </xdr:from>
    <xdr:to>
      <xdr:col>13</xdr:col>
      <xdr:colOff>27215</xdr:colOff>
      <xdr:row>6</xdr:row>
      <xdr:rowOff>2639787</xdr:rowOff>
    </xdr:to>
    <xdr:sp macro="" textlink="$R$5">
      <xdr:nvSpPr>
        <xdr:cNvPr id="12" name="Rectangle 11">
          <a:extLst>
            <a:ext uri="{FF2B5EF4-FFF2-40B4-BE49-F238E27FC236}">
              <a16:creationId xmlns:a16="http://schemas.microsoft.com/office/drawing/2014/main" id="{00000000-0008-0000-0F00-00000C000000}"/>
            </a:ext>
          </a:extLst>
        </xdr:cNvPr>
        <xdr:cNvSpPr/>
      </xdr:nvSpPr>
      <xdr:spPr>
        <a:xfrm>
          <a:off x="10421590" y="3555498"/>
          <a:ext cx="917696" cy="6627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A4328DE-0FB1-4F9D-8F16-CA125712BBB2}" type="TxLink">
            <a:rPr lang="en-US" sz="1100" b="1" i="0" u="none" strike="noStrike" dirty="0" err="1" smtClean="0">
              <a:solidFill>
                <a:schemeClr val="tx1">
                  <a:lumMod val="50000"/>
                  <a:lumOff val="50000"/>
                </a:schemeClr>
              </a:solidFill>
              <a:latin typeface="Verdana"/>
              <a:ea typeface="Verdana"/>
            </a:rPr>
            <a:pPr algn="ctr"/>
            <a:t>1
&gt; 30%</a:t>
          </a:fld>
          <a:endParaRPr lang="fi-FI" sz="1100" b="1" dirty="0" err="1">
            <a:solidFill>
              <a:schemeClr val="tx1">
                <a:lumMod val="50000"/>
                <a:lumOff val="50000"/>
              </a:schemeClr>
            </a:solidFill>
            <a:latin typeface="+mj-lt"/>
          </a:endParaRPr>
        </a:p>
      </xdr:txBody>
    </xdr:sp>
    <xdr:clientData/>
  </xdr:twoCellAnchor>
  <xdr:twoCellAnchor>
    <xdr:from>
      <xdr:col>8</xdr:col>
      <xdr:colOff>5668159</xdr:colOff>
      <xdr:row>6</xdr:row>
      <xdr:rowOff>1068110</xdr:rowOff>
    </xdr:from>
    <xdr:to>
      <xdr:col>13</xdr:col>
      <xdr:colOff>45356</xdr:colOff>
      <xdr:row>6</xdr:row>
      <xdr:rowOff>1623785</xdr:rowOff>
    </xdr:to>
    <xdr:sp macro="" textlink="$R$4">
      <xdr:nvSpPr>
        <xdr:cNvPr id="13" name="Rectangle 12">
          <a:extLst>
            <a:ext uri="{FF2B5EF4-FFF2-40B4-BE49-F238E27FC236}">
              <a16:creationId xmlns:a16="http://schemas.microsoft.com/office/drawing/2014/main" id="{00000000-0008-0000-0F00-00000D000000}"/>
            </a:ext>
          </a:extLst>
        </xdr:cNvPr>
        <xdr:cNvSpPr/>
      </xdr:nvSpPr>
      <xdr:spPr>
        <a:xfrm>
          <a:off x="10385302" y="2646539"/>
          <a:ext cx="972125" cy="555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9888ADB-CB04-4D41-829B-ED04CC7D8E84}" type="TxLink">
            <a:rPr lang="en-US" sz="1100" b="1" i="0" u="none" strike="noStrike" dirty="0" err="1" smtClean="0">
              <a:solidFill>
                <a:schemeClr val="tx1">
                  <a:lumMod val="50000"/>
                  <a:lumOff val="50000"/>
                </a:schemeClr>
              </a:solidFill>
              <a:latin typeface="Verdana"/>
              <a:ea typeface="Verdana"/>
            </a:rPr>
            <a:pPr algn="ctr"/>
            <a:t>2
&gt; 60%</a:t>
          </a:fld>
          <a:endParaRPr lang="fi-FI" sz="1600" b="1" dirty="0" err="1">
            <a:solidFill>
              <a:schemeClr val="tx1">
                <a:lumMod val="50000"/>
                <a:lumOff val="50000"/>
              </a:schemeClr>
            </a:solidFill>
            <a:latin typeface="+mj-lt"/>
          </a:endParaRPr>
        </a:p>
      </xdr:txBody>
    </xdr:sp>
    <xdr:clientData/>
  </xdr:twoCellAnchor>
  <xdr:twoCellAnchor>
    <xdr:from>
      <xdr:col>8</xdr:col>
      <xdr:colOff>5713517</xdr:colOff>
      <xdr:row>5</xdr:row>
      <xdr:rowOff>225132</xdr:rowOff>
    </xdr:from>
    <xdr:to>
      <xdr:col>13</xdr:col>
      <xdr:colOff>9072</xdr:colOff>
      <xdr:row>6</xdr:row>
      <xdr:rowOff>780142</xdr:rowOff>
    </xdr:to>
    <xdr:sp macro="" textlink="$R$3">
      <xdr:nvSpPr>
        <xdr:cNvPr id="14" name="Rectangle 13">
          <a:extLst>
            <a:ext uri="{FF2B5EF4-FFF2-40B4-BE49-F238E27FC236}">
              <a16:creationId xmlns:a16="http://schemas.microsoft.com/office/drawing/2014/main" id="{00000000-0008-0000-0F00-00000E000000}"/>
            </a:ext>
          </a:extLst>
        </xdr:cNvPr>
        <xdr:cNvSpPr/>
      </xdr:nvSpPr>
      <xdr:spPr>
        <a:xfrm>
          <a:off x="10430660" y="1549561"/>
          <a:ext cx="890483" cy="8090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B5F6B17-9769-4672-8FFB-9827D73BF98A}" type="TxLink">
            <a:rPr lang="en-US" sz="1100" b="1" i="0" u="none" strike="noStrike" dirty="0" err="1" smtClean="0">
              <a:solidFill>
                <a:schemeClr val="tx1">
                  <a:lumMod val="50000"/>
                  <a:lumOff val="50000"/>
                </a:schemeClr>
              </a:solidFill>
              <a:latin typeface="Verdana"/>
              <a:ea typeface="Verdana"/>
            </a:rPr>
            <a:pPr algn="ctr"/>
            <a:t>3
&gt; 90%</a:t>
          </a:fld>
          <a:endParaRPr lang="fi-FI" sz="3200" b="1" dirty="0" err="1">
            <a:solidFill>
              <a:schemeClr val="tx1">
                <a:lumMod val="50000"/>
                <a:lumOff val="50000"/>
              </a:schemeClr>
            </a:solidFill>
            <a:latin typeface="+mj-lt"/>
          </a:endParaRPr>
        </a:p>
      </xdr:txBody>
    </xdr:sp>
    <xdr:clientData/>
  </xdr:twoCellAnchor>
  <xdr:twoCellAnchor editAs="oneCell">
    <xdr:from>
      <xdr:col>8</xdr:col>
      <xdr:colOff>4405312</xdr:colOff>
      <xdr:row>1</xdr:row>
      <xdr:rowOff>182562</xdr:rowOff>
    </xdr:from>
    <xdr:to>
      <xdr:col>10</xdr:col>
      <xdr:colOff>119835</xdr:colOff>
      <xdr:row>3</xdr:row>
      <xdr:rowOff>227133</xdr:rowOff>
    </xdr:to>
    <xdr:pic>
      <xdr:nvPicPr>
        <xdr:cNvPr id="16" name="Picture 15">
          <a:extLst>
            <a:ext uri="{FF2B5EF4-FFF2-40B4-BE49-F238E27FC236}">
              <a16:creationId xmlns:a16="http://schemas.microsoft.com/office/drawing/2014/main" id="{9A0E565B-BCCF-4AD9-97E5-2D4A0885F8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74125" y="349250"/>
          <a:ext cx="1437460" cy="5049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7</xdr:col>
      <xdr:colOff>1272643</xdr:colOff>
      <xdr:row>6</xdr:row>
      <xdr:rowOff>3750972</xdr:rowOff>
    </xdr:to>
    <xdr:graphicFrame macro="">
      <xdr:nvGraphicFramePr>
        <xdr:cNvPr id="6" name="Chart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52610</xdr:colOff>
      <xdr:row>44</xdr:row>
      <xdr:rowOff>129719</xdr:rowOff>
    </xdr:from>
    <xdr:to>
      <xdr:col>3</xdr:col>
      <xdr:colOff>232610</xdr:colOff>
      <xdr:row>44</xdr:row>
      <xdr:rowOff>309719</xdr:rowOff>
    </xdr:to>
    <xdr:sp macro="" textlink="Parameters!B14">
      <xdr:nvSpPr>
        <xdr:cNvPr id="19" name="Rectangle 18">
          <a:extLst>
            <a:ext uri="{FF2B5EF4-FFF2-40B4-BE49-F238E27FC236}">
              <a16:creationId xmlns:a16="http://schemas.microsoft.com/office/drawing/2014/main" id="{00000000-0008-0000-1000-000013000000}"/>
            </a:ext>
          </a:extLst>
        </xdr:cNvPr>
        <xdr:cNvSpPr/>
      </xdr:nvSpPr>
      <xdr:spPr>
        <a:xfrm>
          <a:off x="578753" y="14181362"/>
          <a:ext cx="180000" cy="180000"/>
        </a:xfrm>
        <a:prstGeom prst="rect">
          <a:avLst/>
        </a:prstGeom>
        <a:solidFill>
          <a:srgbClr val="FDECE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251EE8D8-1C2C-41D2-A6C2-2716C3FD3AA8}" type="TxLink">
            <a:rPr lang="en-US" sz="1200" b="0" i="0" u="none" strike="noStrike" dirty="0" err="1" smtClean="0">
              <a:solidFill>
                <a:srgbClr val="0058B1"/>
              </a:solidFill>
              <a:latin typeface="Verdana"/>
              <a:ea typeface="Verdana"/>
            </a:rPr>
            <a:pPr algn="l"/>
            <a:t>Kypsyystaso 0</a:t>
          </a:fld>
          <a:endParaRPr lang="en-US" dirty="0" err="1"/>
        </a:p>
      </xdr:txBody>
    </xdr:sp>
    <xdr:clientData/>
  </xdr:twoCellAnchor>
  <xdr:twoCellAnchor>
    <xdr:from>
      <xdr:col>3</xdr:col>
      <xdr:colOff>1898949</xdr:colOff>
      <xdr:row>44</xdr:row>
      <xdr:rowOff>129719</xdr:rowOff>
    </xdr:from>
    <xdr:to>
      <xdr:col>3</xdr:col>
      <xdr:colOff>2078949</xdr:colOff>
      <xdr:row>44</xdr:row>
      <xdr:rowOff>309719</xdr:rowOff>
    </xdr:to>
    <xdr:sp macro="" textlink="Parameters!B15">
      <xdr:nvSpPr>
        <xdr:cNvPr id="20" name="Rectangle 19">
          <a:extLst>
            <a:ext uri="{FF2B5EF4-FFF2-40B4-BE49-F238E27FC236}">
              <a16:creationId xmlns:a16="http://schemas.microsoft.com/office/drawing/2014/main" id="{00000000-0008-0000-1000-000014000000}"/>
            </a:ext>
          </a:extLst>
        </xdr:cNvPr>
        <xdr:cNvSpPr/>
      </xdr:nvSpPr>
      <xdr:spPr>
        <a:xfrm>
          <a:off x="2425092" y="14081576"/>
          <a:ext cx="180000" cy="180000"/>
        </a:xfrm>
        <a:prstGeom prst="rect">
          <a:avLst/>
        </a:prstGeom>
        <a:solidFill>
          <a:srgbClr val="E7F3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1907CDBE-9F1F-4A0C-814C-0B93D1F43A19}" type="TxLink">
            <a:rPr lang="en-US" sz="1200" b="0" i="0" u="none" strike="noStrike" dirty="0" err="1" smtClean="0">
              <a:solidFill>
                <a:srgbClr val="0058B1"/>
              </a:solidFill>
              <a:latin typeface="Verdana"/>
              <a:ea typeface="Verdana"/>
            </a:rPr>
            <a:pPr algn="l"/>
            <a:t>Kypsyystaso 1</a:t>
          </a:fld>
          <a:endParaRPr lang="fi-FI" sz="1100" dirty="0" err="1">
            <a:solidFill>
              <a:srgbClr val="0058B1"/>
            </a:solidFill>
            <a:latin typeface="+mj-lt"/>
          </a:endParaRPr>
        </a:p>
      </xdr:txBody>
    </xdr:sp>
    <xdr:clientData/>
  </xdr:twoCellAnchor>
  <xdr:twoCellAnchor>
    <xdr:from>
      <xdr:col>3</xdr:col>
      <xdr:colOff>3745288</xdr:colOff>
      <xdr:row>44</xdr:row>
      <xdr:rowOff>129719</xdr:rowOff>
    </xdr:from>
    <xdr:to>
      <xdr:col>3</xdr:col>
      <xdr:colOff>3925288</xdr:colOff>
      <xdr:row>44</xdr:row>
      <xdr:rowOff>309719</xdr:rowOff>
    </xdr:to>
    <xdr:sp macro="" textlink="Parameters!B16">
      <xdr:nvSpPr>
        <xdr:cNvPr id="21" name="Rectangle 20">
          <a:extLst>
            <a:ext uri="{FF2B5EF4-FFF2-40B4-BE49-F238E27FC236}">
              <a16:creationId xmlns:a16="http://schemas.microsoft.com/office/drawing/2014/main" id="{00000000-0008-0000-1000-000015000000}"/>
            </a:ext>
          </a:extLst>
        </xdr:cNvPr>
        <xdr:cNvSpPr/>
      </xdr:nvSpPr>
      <xdr:spPr>
        <a:xfrm>
          <a:off x="4271431" y="14081576"/>
          <a:ext cx="180000" cy="180000"/>
        </a:xfrm>
        <a:prstGeom prst="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3360F72B-A86B-4A08-8B0D-97C8F825A06B}" type="TxLink">
            <a:rPr lang="en-US" sz="1200" b="0" i="0" u="none" strike="noStrike" dirty="0" err="1" smtClean="0">
              <a:solidFill>
                <a:srgbClr val="0058B1"/>
              </a:solidFill>
              <a:latin typeface="Verdana"/>
              <a:ea typeface="Verdana"/>
            </a:rPr>
            <a:pPr algn="l"/>
            <a:t>Kypsyystaso 2</a:t>
          </a:fld>
          <a:endParaRPr lang="fi-FI" sz="1100" dirty="0" err="1">
            <a:solidFill>
              <a:srgbClr val="0058B1"/>
            </a:solidFill>
            <a:latin typeface="+mj-lt"/>
          </a:endParaRPr>
        </a:p>
      </xdr:txBody>
    </xdr:sp>
    <xdr:clientData/>
  </xdr:twoCellAnchor>
  <xdr:twoCellAnchor>
    <xdr:from>
      <xdr:col>4</xdr:col>
      <xdr:colOff>1092198</xdr:colOff>
      <xdr:row>44</xdr:row>
      <xdr:rowOff>129719</xdr:rowOff>
    </xdr:from>
    <xdr:to>
      <xdr:col>4</xdr:col>
      <xdr:colOff>1272198</xdr:colOff>
      <xdr:row>44</xdr:row>
      <xdr:rowOff>309719</xdr:rowOff>
    </xdr:to>
    <xdr:sp macro="" textlink="Parameters!B17">
      <xdr:nvSpPr>
        <xdr:cNvPr id="22" name="Rectangle 21">
          <a:extLst>
            <a:ext uri="{FF2B5EF4-FFF2-40B4-BE49-F238E27FC236}">
              <a16:creationId xmlns:a16="http://schemas.microsoft.com/office/drawing/2014/main" id="{00000000-0008-0000-1000-000016000000}"/>
            </a:ext>
          </a:extLst>
        </xdr:cNvPr>
        <xdr:cNvSpPr/>
      </xdr:nvSpPr>
      <xdr:spPr>
        <a:xfrm>
          <a:off x="6117769" y="14181362"/>
          <a:ext cx="180000" cy="180000"/>
        </a:xfrm>
        <a:prstGeom prst="rect">
          <a:avLst/>
        </a:prstGeom>
        <a:solidFill>
          <a:schemeClr val="bg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C6649E6B-A329-4F57-8B60-AB99E2ED6461}" type="TxLink">
            <a:rPr lang="en-US" sz="1200" b="0" i="0" u="none" strike="noStrike" dirty="0" err="1" smtClean="0">
              <a:solidFill>
                <a:srgbClr val="0058B1"/>
              </a:solidFill>
              <a:latin typeface="Verdana"/>
              <a:ea typeface="Verdana"/>
            </a:rPr>
            <a:pPr algn="l"/>
            <a:t>Kypsyystaso 3</a:t>
          </a:fld>
          <a:endParaRPr lang="fi-FI" sz="1100" dirty="0" err="1">
            <a:solidFill>
              <a:srgbClr val="0058B1"/>
            </a:solidFill>
            <a:latin typeface="+mj-lt"/>
          </a:endParaRPr>
        </a:p>
      </xdr:txBody>
    </xdr:sp>
    <xdr:clientData/>
  </xdr:twoCellAnchor>
  <xdr:twoCellAnchor>
    <xdr:from>
      <xdr:col>3</xdr:col>
      <xdr:colOff>3565071</xdr:colOff>
      <xdr:row>7</xdr:row>
      <xdr:rowOff>142416</xdr:rowOff>
    </xdr:from>
    <xdr:to>
      <xdr:col>3</xdr:col>
      <xdr:colOff>3745071</xdr:colOff>
      <xdr:row>7</xdr:row>
      <xdr:rowOff>322416</xdr:rowOff>
    </xdr:to>
    <xdr:sp macro="" textlink="Parameters!B11">
      <xdr:nvSpPr>
        <xdr:cNvPr id="23" name="Rectangle 22">
          <a:extLst>
            <a:ext uri="{FF2B5EF4-FFF2-40B4-BE49-F238E27FC236}">
              <a16:creationId xmlns:a16="http://schemas.microsoft.com/office/drawing/2014/main" id="{00000000-0008-0000-1000-000017000000}"/>
            </a:ext>
          </a:extLst>
        </xdr:cNvPr>
        <xdr:cNvSpPr/>
      </xdr:nvSpPr>
      <xdr:spPr>
        <a:xfrm>
          <a:off x="4091214" y="5394773"/>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a:solidFill>
              <a:srgbClr val="0058B1"/>
            </a:solidFill>
            <a:latin typeface="+mj-lt"/>
          </a:endParaRPr>
        </a:p>
      </xdr:txBody>
    </xdr:sp>
    <xdr:clientData/>
  </xdr:twoCellAnchor>
  <xdr:twoCellAnchor>
    <xdr:from>
      <xdr:col>5</xdr:col>
      <xdr:colOff>429076</xdr:colOff>
      <xdr:row>7</xdr:row>
      <xdr:rowOff>142416</xdr:rowOff>
    </xdr:from>
    <xdr:to>
      <xdr:col>6</xdr:col>
      <xdr:colOff>110147</xdr:colOff>
      <xdr:row>7</xdr:row>
      <xdr:rowOff>322416</xdr:rowOff>
    </xdr:to>
    <xdr:sp macro="" textlink="Parameters!B12">
      <xdr:nvSpPr>
        <xdr:cNvPr id="24" name="Rectangle 23">
          <a:extLst>
            <a:ext uri="{FF2B5EF4-FFF2-40B4-BE49-F238E27FC236}">
              <a16:creationId xmlns:a16="http://schemas.microsoft.com/office/drawing/2014/main" id="{00000000-0008-0000-1000-000018000000}"/>
            </a:ext>
          </a:extLst>
        </xdr:cNvPr>
        <xdr:cNvSpPr/>
      </xdr:nvSpPr>
      <xdr:spPr>
        <a:xfrm>
          <a:off x="6842576" y="5394773"/>
          <a:ext cx="180000"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a:solidFill>
              <a:srgbClr val="0058B1"/>
            </a:solidFill>
            <a:latin typeface="+mj-lt"/>
          </a:endParaRPr>
        </a:p>
      </xdr:txBody>
    </xdr:sp>
    <xdr:clientData/>
  </xdr:twoCellAnchor>
  <xdr:twoCellAnchor>
    <xdr:from>
      <xdr:col>6</xdr:col>
      <xdr:colOff>3225801</xdr:colOff>
      <xdr:row>7</xdr:row>
      <xdr:rowOff>142416</xdr:rowOff>
    </xdr:from>
    <xdr:to>
      <xdr:col>6</xdr:col>
      <xdr:colOff>3405801</xdr:colOff>
      <xdr:row>7</xdr:row>
      <xdr:rowOff>322416</xdr:rowOff>
    </xdr:to>
    <xdr:sp macro="" textlink="Parameters!B13">
      <xdr:nvSpPr>
        <xdr:cNvPr id="25" name="Rectangle 24">
          <a:extLst>
            <a:ext uri="{FF2B5EF4-FFF2-40B4-BE49-F238E27FC236}">
              <a16:creationId xmlns:a16="http://schemas.microsoft.com/office/drawing/2014/main" id="{00000000-0008-0000-1000-000019000000}"/>
            </a:ext>
          </a:extLst>
        </xdr:cNvPr>
        <xdr:cNvSpPr/>
      </xdr:nvSpPr>
      <xdr:spPr>
        <a:xfrm>
          <a:off x="10138230" y="5394773"/>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a:solidFill>
              <a:srgbClr val="0058B1"/>
            </a:solidFill>
            <a:latin typeface="+mj-lt"/>
          </a:endParaRPr>
        </a:p>
      </xdr:txBody>
    </xdr:sp>
    <xdr:clientData/>
  </xdr:twoCellAnchor>
  <xdr:twoCellAnchor>
    <xdr:from>
      <xdr:col>7</xdr:col>
      <xdr:colOff>1152075</xdr:colOff>
      <xdr:row>6</xdr:row>
      <xdr:rowOff>2645225</xdr:rowOff>
    </xdr:from>
    <xdr:to>
      <xdr:col>8</xdr:col>
      <xdr:colOff>124146</xdr:colOff>
      <xdr:row>6</xdr:row>
      <xdr:rowOff>3005225</xdr:rowOff>
    </xdr:to>
    <xdr:sp macro="" textlink="">
      <xdr:nvSpPr>
        <xdr:cNvPr id="12" name="Rectangle 11">
          <a:extLst>
            <a:ext uri="{FF2B5EF4-FFF2-40B4-BE49-F238E27FC236}">
              <a16:creationId xmlns:a16="http://schemas.microsoft.com/office/drawing/2014/main" id="{00000000-0008-0000-1000-00000C000000}"/>
            </a:ext>
          </a:extLst>
        </xdr:cNvPr>
        <xdr:cNvSpPr/>
      </xdr:nvSpPr>
      <xdr:spPr>
        <a:xfrm>
          <a:off x="12563932" y="4214582"/>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0</a:t>
          </a:r>
        </a:p>
      </xdr:txBody>
    </xdr:sp>
    <xdr:clientData/>
  </xdr:twoCellAnchor>
  <xdr:twoCellAnchor>
    <xdr:from>
      <xdr:col>7</xdr:col>
      <xdr:colOff>1152075</xdr:colOff>
      <xdr:row>6</xdr:row>
      <xdr:rowOff>1727196</xdr:rowOff>
    </xdr:from>
    <xdr:to>
      <xdr:col>8</xdr:col>
      <xdr:colOff>124146</xdr:colOff>
      <xdr:row>6</xdr:row>
      <xdr:rowOff>2087196</xdr:rowOff>
    </xdr:to>
    <xdr:sp macro="" textlink="">
      <xdr:nvSpPr>
        <xdr:cNvPr id="13" name="Rectangle 12">
          <a:extLst>
            <a:ext uri="{FF2B5EF4-FFF2-40B4-BE49-F238E27FC236}">
              <a16:creationId xmlns:a16="http://schemas.microsoft.com/office/drawing/2014/main" id="{00000000-0008-0000-1000-00000D000000}"/>
            </a:ext>
          </a:extLst>
        </xdr:cNvPr>
        <xdr:cNvSpPr/>
      </xdr:nvSpPr>
      <xdr:spPr>
        <a:xfrm>
          <a:off x="12563932" y="329655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1</a:t>
          </a:r>
        </a:p>
      </xdr:txBody>
    </xdr:sp>
    <xdr:clientData/>
  </xdr:twoCellAnchor>
  <xdr:twoCellAnchor>
    <xdr:from>
      <xdr:col>7</xdr:col>
      <xdr:colOff>1152075</xdr:colOff>
      <xdr:row>6</xdr:row>
      <xdr:rowOff>754739</xdr:rowOff>
    </xdr:from>
    <xdr:to>
      <xdr:col>8</xdr:col>
      <xdr:colOff>124146</xdr:colOff>
      <xdr:row>6</xdr:row>
      <xdr:rowOff>1114739</xdr:rowOff>
    </xdr:to>
    <xdr:sp macro="" textlink="">
      <xdr:nvSpPr>
        <xdr:cNvPr id="14" name="Rectangle 13">
          <a:extLst>
            <a:ext uri="{FF2B5EF4-FFF2-40B4-BE49-F238E27FC236}">
              <a16:creationId xmlns:a16="http://schemas.microsoft.com/office/drawing/2014/main" id="{00000000-0008-0000-1000-00000E000000}"/>
            </a:ext>
          </a:extLst>
        </xdr:cNvPr>
        <xdr:cNvSpPr/>
      </xdr:nvSpPr>
      <xdr:spPr>
        <a:xfrm>
          <a:off x="12563932" y="2324096"/>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2</a:t>
          </a:r>
        </a:p>
      </xdr:txBody>
    </xdr:sp>
    <xdr:clientData/>
  </xdr:twoCellAnchor>
  <xdr:twoCellAnchor>
    <xdr:from>
      <xdr:col>7</xdr:col>
      <xdr:colOff>1152075</xdr:colOff>
      <xdr:row>6</xdr:row>
      <xdr:rowOff>54426</xdr:rowOff>
    </xdr:from>
    <xdr:to>
      <xdr:col>8</xdr:col>
      <xdr:colOff>124146</xdr:colOff>
      <xdr:row>6</xdr:row>
      <xdr:rowOff>414426</xdr:rowOff>
    </xdr:to>
    <xdr:sp macro="" textlink="">
      <xdr:nvSpPr>
        <xdr:cNvPr id="16" name="Rectangle 15">
          <a:extLst>
            <a:ext uri="{FF2B5EF4-FFF2-40B4-BE49-F238E27FC236}">
              <a16:creationId xmlns:a16="http://schemas.microsoft.com/office/drawing/2014/main" id="{00000000-0008-0000-1000-000010000000}"/>
            </a:ext>
          </a:extLst>
        </xdr:cNvPr>
        <xdr:cNvSpPr/>
      </xdr:nvSpPr>
      <xdr:spPr>
        <a:xfrm>
          <a:off x="12563932" y="162378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3</a:t>
          </a:r>
        </a:p>
      </xdr:txBody>
    </xdr:sp>
    <xdr:clientData/>
  </xdr:twoCellAnchor>
  <xdr:twoCellAnchor editAs="oneCell">
    <xdr:from>
      <xdr:col>7</xdr:col>
      <xdr:colOff>47625</xdr:colOff>
      <xdr:row>1</xdr:row>
      <xdr:rowOff>198437</xdr:rowOff>
    </xdr:from>
    <xdr:to>
      <xdr:col>8</xdr:col>
      <xdr:colOff>172857</xdr:colOff>
      <xdr:row>3</xdr:row>
      <xdr:rowOff>243008</xdr:rowOff>
    </xdr:to>
    <xdr:pic>
      <xdr:nvPicPr>
        <xdr:cNvPr id="17" name="Picture 16">
          <a:extLst>
            <a:ext uri="{FF2B5EF4-FFF2-40B4-BE49-F238E27FC236}">
              <a16:creationId xmlns:a16="http://schemas.microsoft.com/office/drawing/2014/main" id="{580C77B4-E54A-4150-8E9D-29457487C2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10875" y="365125"/>
          <a:ext cx="1434920" cy="50494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611188</xdr:colOff>
      <xdr:row>1</xdr:row>
      <xdr:rowOff>150812</xdr:rowOff>
    </xdr:from>
    <xdr:to>
      <xdr:col>16</xdr:col>
      <xdr:colOff>284618</xdr:colOff>
      <xdr:row>3</xdr:row>
      <xdr:rowOff>210623</xdr:rowOff>
    </xdr:to>
    <xdr:pic>
      <xdr:nvPicPr>
        <xdr:cNvPr id="4" name="Picture 3">
          <a:extLst>
            <a:ext uri="{FF2B5EF4-FFF2-40B4-BE49-F238E27FC236}">
              <a16:creationId xmlns:a16="http://schemas.microsoft.com/office/drawing/2014/main" id="{47A56EF3-98BA-47CE-AE3E-CD410557B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1438" y="317500"/>
          <a:ext cx="1434920" cy="50494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71437</xdr:colOff>
      <xdr:row>1</xdr:row>
      <xdr:rowOff>142874</xdr:rowOff>
    </xdr:from>
    <xdr:to>
      <xdr:col>8</xdr:col>
      <xdr:colOff>196669</xdr:colOff>
      <xdr:row>3</xdr:row>
      <xdr:rowOff>189985</xdr:rowOff>
    </xdr:to>
    <xdr:pic>
      <xdr:nvPicPr>
        <xdr:cNvPr id="4" name="Picture 3">
          <a:extLst>
            <a:ext uri="{FF2B5EF4-FFF2-40B4-BE49-F238E27FC236}">
              <a16:creationId xmlns:a16="http://schemas.microsoft.com/office/drawing/2014/main" id="{D928362F-1C88-4E2C-A717-8A1F64DB8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34687" y="309562"/>
          <a:ext cx="1434920" cy="50748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97789</xdr:colOff>
      <xdr:row>1</xdr:row>
      <xdr:rowOff>117791</xdr:rowOff>
    </xdr:from>
    <xdr:to>
      <xdr:col>14</xdr:col>
      <xdr:colOff>81734</xdr:colOff>
      <xdr:row>3</xdr:row>
      <xdr:rowOff>62985</xdr:rowOff>
    </xdr:to>
    <xdr:pic>
      <xdr:nvPicPr>
        <xdr:cNvPr id="2" name="Picture 1">
          <a:extLst>
            <a:ext uri="{FF2B5EF4-FFF2-40B4-BE49-F238E27FC236}">
              <a16:creationId xmlns:a16="http://schemas.microsoft.com/office/drawing/2014/main" id="{84E8B122-9AFD-4308-A297-E0170F8A2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6102" y="284479"/>
          <a:ext cx="1428570" cy="5087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476250</xdr:colOff>
      <xdr:row>2</xdr:row>
      <xdr:rowOff>152400</xdr:rowOff>
    </xdr:from>
    <xdr:to>
      <xdr:col>17</xdr:col>
      <xdr:colOff>226060</xdr:colOff>
      <xdr:row>41</xdr:row>
      <xdr:rowOff>27940</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488950</xdr:colOff>
      <xdr:row>43</xdr:row>
      <xdr:rowOff>146050</xdr:rowOff>
    </xdr:from>
    <xdr:to>
      <xdr:col>17</xdr:col>
      <xdr:colOff>238760</xdr:colOff>
      <xdr:row>82</xdr:row>
      <xdr:rowOff>21590</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611188</xdr:colOff>
      <xdr:row>1</xdr:row>
      <xdr:rowOff>111125</xdr:rowOff>
    </xdr:from>
    <xdr:to>
      <xdr:col>17</xdr:col>
      <xdr:colOff>589418</xdr:colOff>
      <xdr:row>4</xdr:row>
      <xdr:rowOff>92196</xdr:rowOff>
    </xdr:to>
    <xdr:pic>
      <xdr:nvPicPr>
        <xdr:cNvPr id="4" name="Picture 3">
          <a:extLst>
            <a:ext uri="{FF2B5EF4-FFF2-40B4-BE49-F238E27FC236}">
              <a16:creationId xmlns:a16="http://schemas.microsoft.com/office/drawing/2014/main" id="{D03D7E7B-C929-4768-AC6D-94766F76C5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7563" y="285750"/>
          <a:ext cx="1438730" cy="504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1150938</xdr:colOff>
      <xdr:row>1</xdr:row>
      <xdr:rowOff>158750</xdr:rowOff>
    </xdr:from>
    <xdr:to>
      <xdr:col>10</xdr:col>
      <xdr:colOff>873263</xdr:colOff>
      <xdr:row>3</xdr:row>
      <xdr:rowOff>156013</xdr:rowOff>
    </xdr:to>
    <xdr:pic>
      <xdr:nvPicPr>
        <xdr:cNvPr id="4" name="Picture 3">
          <a:extLst>
            <a:ext uri="{FF2B5EF4-FFF2-40B4-BE49-F238E27FC236}">
              <a16:creationId xmlns:a16="http://schemas.microsoft.com/office/drawing/2014/main" id="{F8AE5484-8BDA-4268-A918-949273CC3D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938" y="301625"/>
          <a:ext cx="1440000" cy="504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202235</xdr:colOff>
      <xdr:row>7</xdr:row>
      <xdr:rowOff>760185</xdr:rowOff>
    </xdr:from>
    <xdr:to>
      <xdr:col>7</xdr:col>
      <xdr:colOff>1582377</xdr:colOff>
      <xdr:row>8</xdr:row>
      <xdr:rowOff>1438185</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220057</xdr:colOff>
      <xdr:row>7</xdr:row>
      <xdr:rowOff>760185</xdr:rowOff>
    </xdr:from>
    <xdr:to>
      <xdr:col>8</xdr:col>
      <xdr:colOff>1600199</xdr:colOff>
      <xdr:row>8</xdr:row>
      <xdr:rowOff>1438185</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7</xdr:row>
      <xdr:rowOff>760185</xdr:rowOff>
    </xdr:from>
    <xdr:to>
      <xdr:col>8</xdr:col>
      <xdr:colOff>1637551</xdr:colOff>
      <xdr:row>10</xdr:row>
      <xdr:rowOff>1467214</xdr:rowOff>
    </xdr:to>
    <xdr:grpSp>
      <xdr:nvGrpSpPr>
        <xdr:cNvPr id="39" name="Group 38">
          <a:extLst>
            <a:ext uri="{FF2B5EF4-FFF2-40B4-BE49-F238E27FC236}">
              <a16:creationId xmlns:a16="http://schemas.microsoft.com/office/drawing/2014/main" id="{00000000-0008-0000-1500-000027000000}"/>
            </a:ext>
          </a:extLst>
        </xdr:cNvPr>
        <xdr:cNvGrpSpPr/>
      </xdr:nvGrpSpPr>
      <xdr:grpSpPr>
        <a:xfrm>
          <a:off x="1714500" y="2950935"/>
          <a:ext cx="8590801" cy="4513219"/>
          <a:chOff x="1724025" y="2969985"/>
          <a:chExt cx="8571751" cy="4517029"/>
        </a:xfrm>
      </xdr:grpSpPr>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1724025" y="2969985"/>
          <a:ext cx="1380142" cy="144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00000000-0008-0000-1500-000006000000}"/>
              </a:ext>
            </a:extLst>
          </xdr:cNvPr>
          <xdr:cNvGraphicFramePr>
            <a:graphicFrameLocks/>
          </xdr:cNvGraphicFramePr>
        </xdr:nvGraphicFramePr>
        <xdr:xfrm>
          <a:off x="3522380" y="6047014"/>
          <a:ext cx="1376514" cy="144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a:extLst>
              <a:ext uri="{FF2B5EF4-FFF2-40B4-BE49-F238E27FC236}">
                <a16:creationId xmlns:a16="http://schemas.microsoft.com/office/drawing/2014/main" id="{00000000-0008-0000-1500-000007000000}"/>
              </a:ext>
            </a:extLst>
          </xdr:cNvPr>
          <xdr:cNvGraphicFramePr>
            <a:graphicFrameLocks/>
          </xdr:cNvGraphicFramePr>
        </xdr:nvGraphicFramePr>
        <xdr:xfrm>
          <a:off x="5320735" y="6047014"/>
          <a:ext cx="1376514" cy="14400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Chart 7">
            <a:extLst>
              <a:ext uri="{FF2B5EF4-FFF2-40B4-BE49-F238E27FC236}">
                <a16:creationId xmlns:a16="http://schemas.microsoft.com/office/drawing/2014/main" id="{00000000-0008-0000-1500-000008000000}"/>
              </a:ext>
            </a:extLst>
          </xdr:cNvPr>
          <xdr:cNvGraphicFramePr>
            <a:graphicFrameLocks/>
          </xdr:cNvGraphicFramePr>
        </xdr:nvGraphicFramePr>
        <xdr:xfrm>
          <a:off x="7119091" y="6047014"/>
          <a:ext cx="1376514" cy="14400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Chart 8">
            <a:extLst>
              <a:ext uri="{FF2B5EF4-FFF2-40B4-BE49-F238E27FC236}">
                <a16:creationId xmlns:a16="http://schemas.microsoft.com/office/drawing/2014/main" id="{00000000-0008-0000-1500-000009000000}"/>
              </a:ext>
            </a:extLst>
          </xdr:cNvPr>
          <xdr:cNvGraphicFramePr/>
        </xdr:nvGraphicFramePr>
        <xdr:xfrm>
          <a:off x="1724025" y="4594224"/>
          <a:ext cx="1373507" cy="1440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Chart 9">
            <a:extLst>
              <a:ext uri="{FF2B5EF4-FFF2-40B4-BE49-F238E27FC236}">
                <a16:creationId xmlns:a16="http://schemas.microsoft.com/office/drawing/2014/main" id="{00000000-0008-0000-1500-00000A000000}"/>
              </a:ext>
            </a:extLst>
          </xdr:cNvPr>
          <xdr:cNvGraphicFramePr>
            <a:graphicFrameLocks/>
          </xdr:cNvGraphicFramePr>
        </xdr:nvGraphicFramePr>
        <xdr:xfrm>
          <a:off x="3522757" y="4594224"/>
          <a:ext cx="1373506" cy="14400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1" name="Chart 10">
            <a:extLst>
              <a:ext uri="{FF2B5EF4-FFF2-40B4-BE49-F238E27FC236}">
                <a16:creationId xmlns:a16="http://schemas.microsoft.com/office/drawing/2014/main" id="{00000000-0008-0000-1500-00000B000000}"/>
              </a:ext>
            </a:extLst>
          </xdr:cNvPr>
          <xdr:cNvGraphicFramePr>
            <a:graphicFrameLocks/>
          </xdr:cNvGraphicFramePr>
        </xdr:nvGraphicFramePr>
        <xdr:xfrm>
          <a:off x="5321488" y="4594224"/>
          <a:ext cx="1373506" cy="144000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7120220" y="4594224"/>
          <a:ext cx="1373506" cy="1440000"/>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8918952" y="4594224"/>
          <a:ext cx="1373507" cy="144000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4" name="Chart 13">
            <a:extLst>
              <a:ext uri="{FF2B5EF4-FFF2-40B4-BE49-F238E27FC236}">
                <a16:creationId xmlns:a16="http://schemas.microsoft.com/office/drawing/2014/main" id="{00000000-0008-0000-1500-00000E000000}"/>
              </a:ext>
            </a:extLst>
          </xdr:cNvPr>
          <xdr:cNvGraphicFramePr>
            <a:graphicFrameLocks/>
          </xdr:cNvGraphicFramePr>
        </xdr:nvGraphicFramePr>
        <xdr:xfrm>
          <a:off x="8917448" y="6019800"/>
          <a:ext cx="1376514" cy="1440000"/>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3472182" y="3022225"/>
          <a:ext cx="1470482" cy="1387759"/>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5310679" y="2969985"/>
          <a:ext cx="1380142" cy="1440000"/>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7058837" y="2969985"/>
          <a:ext cx="1380142" cy="144000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8915634" y="2969985"/>
          <a:ext cx="1380142" cy="1440000"/>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1724025" y="6019800"/>
          <a:ext cx="1376514" cy="1440000"/>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4</xdr:col>
      <xdr:colOff>82586</xdr:colOff>
      <xdr:row>15</xdr:row>
      <xdr:rowOff>92526</xdr:rowOff>
    </xdr:from>
    <xdr:to>
      <xdr:col>9</xdr:col>
      <xdr:colOff>1380142</xdr:colOff>
      <xdr:row>17</xdr:row>
      <xdr:rowOff>1440000</xdr:rowOff>
    </xdr:to>
    <xdr:grpSp>
      <xdr:nvGrpSpPr>
        <xdr:cNvPr id="20" name="Group 19">
          <a:extLst>
            <a:ext uri="{FF2B5EF4-FFF2-40B4-BE49-F238E27FC236}">
              <a16:creationId xmlns:a16="http://schemas.microsoft.com/office/drawing/2014/main" id="{00000000-0008-0000-1500-000014000000}"/>
            </a:ext>
          </a:extLst>
        </xdr:cNvPr>
        <xdr:cNvGrpSpPr/>
      </xdr:nvGrpSpPr>
      <xdr:grpSpPr>
        <a:xfrm>
          <a:off x="1798991" y="9240336"/>
          <a:ext cx="9989119" cy="4389759"/>
          <a:chOff x="1806611" y="9255576"/>
          <a:chExt cx="9965306" cy="4395474"/>
        </a:xfrm>
      </xdr:grpSpPr>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1806611" y="9255576"/>
          <a:ext cx="1380142" cy="1440000"/>
        </xdr:xfrm>
        <a:graphic>
          <a:graphicData uri="http://schemas.openxmlformats.org/drawingml/2006/chart">
            <c:chart xmlns:c="http://schemas.openxmlformats.org/drawingml/2006/chart" xmlns:r="http://schemas.openxmlformats.org/officeDocument/2006/relationships" r:id="rId18"/>
          </a:graphicData>
        </a:graphic>
      </xdr:graphicFrame>
      <xdr:graphicFrame macro="">
        <xdr:nvGraphicFramePr>
          <xdr:cNvPr id="22" name="Chart 21">
            <a:extLst>
              <a:ext uri="{FF2B5EF4-FFF2-40B4-BE49-F238E27FC236}">
                <a16:creationId xmlns:a16="http://schemas.microsoft.com/office/drawing/2014/main" id="{00000000-0008-0000-1500-000016000000}"/>
              </a:ext>
            </a:extLst>
          </xdr:cNvPr>
          <xdr:cNvGraphicFramePr>
            <a:graphicFrameLocks/>
          </xdr:cNvGraphicFramePr>
        </xdr:nvGraphicFramePr>
        <xdr:xfrm>
          <a:off x="1810169" y="10786833"/>
          <a:ext cx="1373026" cy="144000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23" name="Chart 22">
            <a:extLst>
              <a:ext uri="{FF2B5EF4-FFF2-40B4-BE49-F238E27FC236}">
                <a16:creationId xmlns:a16="http://schemas.microsoft.com/office/drawing/2014/main" id="{00000000-0008-0000-1500-000017000000}"/>
              </a:ext>
            </a:extLst>
          </xdr:cNvPr>
          <xdr:cNvGraphicFramePr>
            <a:graphicFrameLocks/>
          </xdr:cNvGraphicFramePr>
        </xdr:nvGraphicFramePr>
        <xdr:xfrm>
          <a:off x="3589713" y="9255576"/>
          <a:ext cx="1380142" cy="144000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24" name="Chart 23">
            <a:extLst>
              <a:ext uri="{FF2B5EF4-FFF2-40B4-BE49-F238E27FC236}">
                <a16:creationId xmlns:a16="http://schemas.microsoft.com/office/drawing/2014/main" id="{00000000-0008-0000-1500-000018000000}"/>
              </a:ext>
            </a:extLst>
          </xdr:cNvPr>
          <xdr:cNvGraphicFramePr>
            <a:graphicFrameLocks/>
          </xdr:cNvGraphicFramePr>
        </xdr:nvGraphicFramePr>
        <xdr:xfrm>
          <a:off x="3526490" y="10786833"/>
          <a:ext cx="1373026" cy="144000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25" name="Chart 24">
            <a:extLst>
              <a:ext uri="{FF2B5EF4-FFF2-40B4-BE49-F238E27FC236}">
                <a16:creationId xmlns:a16="http://schemas.microsoft.com/office/drawing/2014/main" id="{00000000-0008-0000-1500-000019000000}"/>
              </a:ext>
            </a:extLst>
          </xdr:cNvPr>
          <xdr:cNvGraphicFramePr>
            <a:graphicFrameLocks/>
          </xdr:cNvGraphicFramePr>
        </xdr:nvGraphicFramePr>
        <xdr:xfrm>
          <a:off x="5290228" y="9255576"/>
          <a:ext cx="1380142" cy="1440000"/>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26" name="Chart 25">
            <a:extLst>
              <a:ext uri="{FF2B5EF4-FFF2-40B4-BE49-F238E27FC236}">
                <a16:creationId xmlns:a16="http://schemas.microsoft.com/office/drawing/2014/main" id="{00000000-0008-0000-1500-00001A000000}"/>
              </a:ext>
            </a:extLst>
          </xdr:cNvPr>
          <xdr:cNvGraphicFramePr>
            <a:graphicFrameLocks/>
          </xdr:cNvGraphicFramePr>
        </xdr:nvGraphicFramePr>
        <xdr:xfrm>
          <a:off x="5242811" y="10786833"/>
          <a:ext cx="1373026" cy="144000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27" name="Chart 26">
            <a:extLst>
              <a:ext uri="{FF2B5EF4-FFF2-40B4-BE49-F238E27FC236}">
                <a16:creationId xmlns:a16="http://schemas.microsoft.com/office/drawing/2014/main" id="{00000000-0008-0000-1500-00001B000000}"/>
              </a:ext>
            </a:extLst>
          </xdr:cNvPr>
          <xdr:cNvGraphicFramePr>
            <a:graphicFrameLocks/>
          </xdr:cNvGraphicFramePr>
        </xdr:nvGraphicFramePr>
        <xdr:xfrm>
          <a:off x="6990744" y="9255576"/>
          <a:ext cx="1380142" cy="1440000"/>
        </xdr:xfrm>
        <a:graphic>
          <a:graphicData uri="http://schemas.openxmlformats.org/drawingml/2006/chart">
            <c:chart xmlns:c="http://schemas.openxmlformats.org/drawingml/2006/chart" xmlns:r="http://schemas.openxmlformats.org/officeDocument/2006/relationships" r:id="rId24"/>
          </a:graphicData>
        </a:graphic>
      </xdr:graphicFrame>
      <xdr:graphicFrame macro="">
        <xdr:nvGraphicFramePr>
          <xdr:cNvPr id="28" name="Chart 27">
            <a:extLst>
              <a:ext uri="{FF2B5EF4-FFF2-40B4-BE49-F238E27FC236}">
                <a16:creationId xmlns:a16="http://schemas.microsoft.com/office/drawing/2014/main" id="{00000000-0008-0000-1500-00001C000000}"/>
              </a:ext>
            </a:extLst>
          </xdr:cNvPr>
          <xdr:cNvGraphicFramePr>
            <a:graphicFrameLocks/>
          </xdr:cNvGraphicFramePr>
        </xdr:nvGraphicFramePr>
        <xdr:xfrm>
          <a:off x="6959133" y="10786833"/>
          <a:ext cx="1373026" cy="144000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29" name="Chart 28">
            <a:extLst>
              <a:ext uri="{FF2B5EF4-FFF2-40B4-BE49-F238E27FC236}">
                <a16:creationId xmlns:a16="http://schemas.microsoft.com/office/drawing/2014/main" id="{00000000-0008-0000-1500-00001D000000}"/>
              </a:ext>
            </a:extLst>
          </xdr:cNvPr>
          <xdr:cNvGraphicFramePr>
            <a:graphicFrameLocks/>
          </xdr:cNvGraphicFramePr>
        </xdr:nvGraphicFramePr>
        <xdr:xfrm>
          <a:off x="8691259" y="9255576"/>
          <a:ext cx="1380142" cy="1440000"/>
        </xdr:xfrm>
        <a:graphic>
          <a:graphicData uri="http://schemas.openxmlformats.org/drawingml/2006/chart">
            <c:chart xmlns:c="http://schemas.openxmlformats.org/drawingml/2006/chart" xmlns:r="http://schemas.openxmlformats.org/officeDocument/2006/relationships" r:id="rId26"/>
          </a:graphicData>
        </a:graphic>
      </xdr:graphicFrame>
      <xdr:graphicFrame macro="">
        <xdr:nvGraphicFramePr>
          <xdr:cNvPr id="30" name="Chart 29">
            <a:extLst>
              <a:ext uri="{FF2B5EF4-FFF2-40B4-BE49-F238E27FC236}">
                <a16:creationId xmlns:a16="http://schemas.microsoft.com/office/drawing/2014/main" id="{00000000-0008-0000-1500-00001E000000}"/>
              </a:ext>
            </a:extLst>
          </xdr:cNvPr>
          <xdr:cNvGraphicFramePr>
            <a:graphicFrameLocks/>
          </xdr:cNvGraphicFramePr>
        </xdr:nvGraphicFramePr>
        <xdr:xfrm>
          <a:off x="8675454" y="10786833"/>
          <a:ext cx="1373026" cy="144000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31" name="Chart 30">
            <a:extLst>
              <a:ext uri="{FF2B5EF4-FFF2-40B4-BE49-F238E27FC236}">
                <a16:creationId xmlns:a16="http://schemas.microsoft.com/office/drawing/2014/main" id="{00000000-0008-0000-1500-00001F000000}"/>
              </a:ext>
            </a:extLst>
          </xdr:cNvPr>
          <xdr:cNvGraphicFramePr>
            <a:graphicFrameLocks/>
          </xdr:cNvGraphicFramePr>
        </xdr:nvGraphicFramePr>
        <xdr:xfrm>
          <a:off x="1808425" y="12211050"/>
          <a:ext cx="1376514" cy="1440000"/>
        </xdr:xfrm>
        <a:graphic>
          <a:graphicData uri="http://schemas.openxmlformats.org/drawingml/2006/chart">
            <c:chart xmlns:c="http://schemas.openxmlformats.org/drawingml/2006/chart" xmlns:r="http://schemas.openxmlformats.org/officeDocument/2006/relationships" r:id="rId28"/>
          </a:graphicData>
        </a:graphic>
      </xdr:graphicFrame>
      <xdr:graphicFrame macro="">
        <xdr:nvGraphicFramePr>
          <xdr:cNvPr id="32" name="Chart 31">
            <a:extLst>
              <a:ext uri="{FF2B5EF4-FFF2-40B4-BE49-F238E27FC236}">
                <a16:creationId xmlns:a16="http://schemas.microsoft.com/office/drawing/2014/main" id="{00000000-0008-0000-1500-000020000000}"/>
              </a:ext>
            </a:extLst>
          </xdr:cNvPr>
          <xdr:cNvGraphicFramePr>
            <a:graphicFrameLocks/>
          </xdr:cNvGraphicFramePr>
        </xdr:nvGraphicFramePr>
        <xdr:xfrm>
          <a:off x="5241765" y="12211050"/>
          <a:ext cx="1376514" cy="144000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33" name="Chart 32">
            <a:extLst>
              <a:ext uri="{FF2B5EF4-FFF2-40B4-BE49-F238E27FC236}">
                <a16:creationId xmlns:a16="http://schemas.microsoft.com/office/drawing/2014/main" id="{00000000-0008-0000-1500-000021000000}"/>
              </a:ext>
            </a:extLst>
          </xdr:cNvPr>
          <xdr:cNvGraphicFramePr>
            <a:graphicFrameLocks/>
          </xdr:cNvGraphicFramePr>
        </xdr:nvGraphicFramePr>
        <xdr:xfrm>
          <a:off x="6958436" y="12211050"/>
          <a:ext cx="1376514" cy="1440000"/>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34" name="Chart 33">
            <a:extLst>
              <a:ext uri="{FF2B5EF4-FFF2-40B4-BE49-F238E27FC236}">
                <a16:creationId xmlns:a16="http://schemas.microsoft.com/office/drawing/2014/main" id="{00000000-0008-0000-1500-000022000000}"/>
              </a:ext>
            </a:extLst>
          </xdr:cNvPr>
          <xdr:cNvGraphicFramePr>
            <a:graphicFrameLocks/>
          </xdr:cNvGraphicFramePr>
        </xdr:nvGraphicFramePr>
        <xdr:xfrm>
          <a:off x="8675106" y="12211050"/>
          <a:ext cx="1376514" cy="144000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35" name="Chart 34">
            <a:extLst>
              <a:ext uri="{FF2B5EF4-FFF2-40B4-BE49-F238E27FC236}">
                <a16:creationId xmlns:a16="http://schemas.microsoft.com/office/drawing/2014/main" id="{00000000-0008-0000-1500-000023000000}"/>
              </a:ext>
            </a:extLst>
          </xdr:cNvPr>
          <xdr:cNvGraphicFramePr>
            <a:graphicFrameLocks/>
          </xdr:cNvGraphicFramePr>
        </xdr:nvGraphicFramePr>
        <xdr:xfrm>
          <a:off x="3525095" y="12211050"/>
          <a:ext cx="1376514" cy="1440000"/>
        </xdr:xfrm>
        <a:graphic>
          <a:graphicData uri="http://schemas.openxmlformats.org/drawingml/2006/chart">
            <c:chart xmlns:c="http://schemas.openxmlformats.org/drawingml/2006/chart" xmlns:r="http://schemas.openxmlformats.org/officeDocument/2006/relationships" r:id="rId32"/>
          </a:graphicData>
        </a:graphic>
      </xdr:graphicFrame>
      <xdr:graphicFrame macro="">
        <xdr:nvGraphicFramePr>
          <xdr:cNvPr id="36" name="Chart 35">
            <a:extLst>
              <a:ext uri="{FF2B5EF4-FFF2-40B4-BE49-F238E27FC236}">
                <a16:creationId xmlns:a16="http://schemas.microsoft.com/office/drawing/2014/main" id="{00000000-0008-0000-1500-000024000000}"/>
              </a:ext>
            </a:extLst>
          </xdr:cNvPr>
          <xdr:cNvGraphicFramePr>
            <a:graphicFrameLocks/>
          </xdr:cNvGraphicFramePr>
        </xdr:nvGraphicFramePr>
        <xdr:xfrm>
          <a:off x="10391775" y="9255576"/>
          <a:ext cx="1380142" cy="144000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37" name="Chart 36">
            <a:extLst>
              <a:ext uri="{FF2B5EF4-FFF2-40B4-BE49-F238E27FC236}">
                <a16:creationId xmlns:a16="http://schemas.microsoft.com/office/drawing/2014/main" id="{00000000-0008-0000-1500-000025000000}"/>
              </a:ext>
            </a:extLst>
          </xdr:cNvPr>
          <xdr:cNvGraphicFramePr>
            <a:graphicFrameLocks/>
          </xdr:cNvGraphicFramePr>
        </xdr:nvGraphicFramePr>
        <xdr:xfrm>
          <a:off x="10391775" y="10786833"/>
          <a:ext cx="1373026" cy="1440000"/>
        </xdr:xfrm>
        <a:graphic>
          <a:graphicData uri="http://schemas.openxmlformats.org/drawingml/2006/chart">
            <c:chart xmlns:c="http://schemas.openxmlformats.org/drawingml/2006/chart" xmlns:r="http://schemas.openxmlformats.org/officeDocument/2006/relationships" r:id="rId34"/>
          </a:graphicData>
        </a:graphic>
      </xdr:graphicFrame>
      <xdr:graphicFrame macro="">
        <xdr:nvGraphicFramePr>
          <xdr:cNvPr id="38" name="Chart 37">
            <a:extLst>
              <a:ext uri="{FF2B5EF4-FFF2-40B4-BE49-F238E27FC236}">
                <a16:creationId xmlns:a16="http://schemas.microsoft.com/office/drawing/2014/main" id="{00000000-0008-0000-1500-000026000000}"/>
              </a:ext>
            </a:extLst>
          </xdr:cNvPr>
          <xdr:cNvGraphicFramePr>
            <a:graphicFrameLocks/>
          </xdr:cNvGraphicFramePr>
        </xdr:nvGraphicFramePr>
        <xdr:xfrm>
          <a:off x="10391775" y="12211050"/>
          <a:ext cx="1376514" cy="1440000"/>
        </xdr:xfrm>
        <a:graphic>
          <a:graphicData uri="http://schemas.openxmlformats.org/drawingml/2006/chart">
            <c:chart xmlns:c="http://schemas.openxmlformats.org/drawingml/2006/chart" xmlns:r="http://schemas.openxmlformats.org/officeDocument/2006/relationships" r:id="rId35"/>
          </a:graphicData>
        </a:graphic>
      </xdr:graphicFrame>
    </xdr:grpSp>
    <xdr:clientData/>
  </xdr:twoCellAnchor>
  <xdr:twoCellAnchor editAs="oneCell">
    <xdr:from>
      <xdr:col>9</xdr:col>
      <xdr:colOff>754063</xdr:colOff>
      <xdr:row>1</xdr:row>
      <xdr:rowOff>142875</xdr:rowOff>
    </xdr:from>
    <xdr:to>
      <xdr:col>12</xdr:col>
      <xdr:colOff>17918</xdr:colOff>
      <xdr:row>3</xdr:row>
      <xdr:rowOff>191256</xdr:rowOff>
    </xdr:to>
    <xdr:pic>
      <xdr:nvPicPr>
        <xdr:cNvPr id="40" name="Picture 39">
          <a:extLst>
            <a:ext uri="{FF2B5EF4-FFF2-40B4-BE49-F238E27FC236}">
              <a16:creationId xmlns:a16="http://schemas.microsoft.com/office/drawing/2014/main" id="{390994D4-0802-42EB-8EBA-C3B5E96EDE7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1144251" y="309563"/>
          <a:ext cx="1438730" cy="5087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777874</xdr:colOff>
      <xdr:row>1</xdr:row>
      <xdr:rowOff>126999</xdr:rowOff>
    </xdr:from>
    <xdr:to>
      <xdr:col>13</xdr:col>
      <xdr:colOff>296</xdr:colOff>
      <xdr:row>3</xdr:row>
      <xdr:rowOff>169030</xdr:rowOff>
    </xdr:to>
    <xdr:pic>
      <xdr:nvPicPr>
        <xdr:cNvPr id="3" name="Picture 2">
          <a:extLst>
            <a:ext uri="{FF2B5EF4-FFF2-40B4-BE49-F238E27FC236}">
              <a16:creationId xmlns:a16="http://schemas.microsoft.com/office/drawing/2014/main" id="{7EC8CDD1-344E-4F35-8D74-454F2B787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6437" y="301624"/>
          <a:ext cx="1437460" cy="50621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196850</xdr:colOff>
      <xdr:row>1</xdr:row>
      <xdr:rowOff>165100</xdr:rowOff>
    </xdr:from>
    <xdr:to>
      <xdr:col>14</xdr:col>
      <xdr:colOff>340180</xdr:colOff>
      <xdr:row>3</xdr:row>
      <xdr:rowOff>193796</xdr:rowOff>
    </xdr:to>
    <xdr:pic>
      <xdr:nvPicPr>
        <xdr:cNvPr id="3" name="Picture 2">
          <a:extLst>
            <a:ext uri="{FF2B5EF4-FFF2-40B4-BE49-F238E27FC236}">
              <a16:creationId xmlns:a16="http://schemas.microsoft.com/office/drawing/2014/main" id="{353AD269-7626-4380-926B-D627834ED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62100" y="342900"/>
          <a:ext cx="1434920" cy="5049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1182823</xdr:colOff>
      <xdr:row>1</xdr:row>
      <xdr:rowOff>168592</xdr:rowOff>
    </xdr:from>
    <xdr:to>
      <xdr:col>11</xdr:col>
      <xdr:colOff>3289</xdr:colOff>
      <xdr:row>3</xdr:row>
      <xdr:rowOff>187445</xdr:rowOff>
    </xdr:to>
    <xdr:pic>
      <xdr:nvPicPr>
        <xdr:cNvPr id="3" name="Picture 2">
          <a:extLst>
            <a:ext uri="{FF2B5EF4-FFF2-40B4-BE49-F238E27FC236}">
              <a16:creationId xmlns:a16="http://schemas.microsoft.com/office/drawing/2014/main" id="{C380C9E6-E512-498A-8727-65B2E844C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8823" y="311467"/>
          <a:ext cx="1436190" cy="504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1174750</xdr:colOff>
      <xdr:row>1</xdr:row>
      <xdr:rowOff>150812</xdr:rowOff>
    </xdr:from>
    <xdr:to>
      <xdr:col>10</xdr:col>
      <xdr:colOff>879930</xdr:colOff>
      <xdr:row>3</xdr:row>
      <xdr:rowOff>155695</xdr:rowOff>
    </xdr:to>
    <xdr:pic>
      <xdr:nvPicPr>
        <xdr:cNvPr id="3" name="Picture 2">
          <a:extLst>
            <a:ext uri="{FF2B5EF4-FFF2-40B4-BE49-F238E27FC236}">
              <a16:creationId xmlns:a16="http://schemas.microsoft.com/office/drawing/2014/main" id="{B02084B1-A22A-42A4-B643-A92BE9D9C3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0750" y="293687"/>
          <a:ext cx="1436190" cy="5049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1127125</xdr:colOff>
      <xdr:row>1</xdr:row>
      <xdr:rowOff>174625</xdr:rowOff>
    </xdr:from>
    <xdr:to>
      <xdr:col>10</xdr:col>
      <xdr:colOff>835480</xdr:colOff>
      <xdr:row>3</xdr:row>
      <xdr:rowOff>187128</xdr:rowOff>
    </xdr:to>
    <xdr:pic>
      <xdr:nvPicPr>
        <xdr:cNvPr id="3" name="Picture 2">
          <a:extLst>
            <a:ext uri="{FF2B5EF4-FFF2-40B4-BE49-F238E27FC236}">
              <a16:creationId xmlns:a16="http://schemas.microsoft.com/office/drawing/2014/main" id="{BA3D0DF1-B85F-435D-B6FC-8BDD5D794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3125" y="317500"/>
          <a:ext cx="1436190" cy="5049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1214597</xdr:colOff>
      <xdr:row>1</xdr:row>
      <xdr:rowOff>114935</xdr:rowOff>
    </xdr:from>
    <xdr:to>
      <xdr:col>11</xdr:col>
      <xdr:colOff>34428</xdr:colOff>
      <xdr:row>3</xdr:row>
      <xdr:rowOff>112198</xdr:rowOff>
    </xdr:to>
    <xdr:pic>
      <xdr:nvPicPr>
        <xdr:cNvPr id="4" name="Picture 3">
          <a:extLst>
            <a:ext uri="{FF2B5EF4-FFF2-40B4-BE49-F238E27FC236}">
              <a16:creationId xmlns:a16="http://schemas.microsoft.com/office/drawing/2014/main" id="{23A98442-BA1F-4C9D-BDB2-7143135D4C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70753" y="257810"/>
          <a:ext cx="1446033" cy="497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1166812</xdr:colOff>
      <xdr:row>1</xdr:row>
      <xdr:rowOff>111125</xdr:rowOff>
    </xdr:from>
    <xdr:to>
      <xdr:col>10</xdr:col>
      <xdr:colOff>872627</xdr:colOff>
      <xdr:row>3</xdr:row>
      <xdr:rowOff>116008</xdr:rowOff>
    </xdr:to>
    <xdr:pic>
      <xdr:nvPicPr>
        <xdr:cNvPr id="4" name="Picture 3">
          <a:extLst>
            <a:ext uri="{FF2B5EF4-FFF2-40B4-BE49-F238E27FC236}">
              <a16:creationId xmlns:a16="http://schemas.microsoft.com/office/drawing/2014/main" id="{427AC23E-F86D-4E57-8B4D-BF94211C1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42812" y="254000"/>
          <a:ext cx="1436190" cy="5049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1198562</xdr:colOff>
      <xdr:row>1</xdr:row>
      <xdr:rowOff>119062</xdr:rowOff>
    </xdr:from>
    <xdr:to>
      <xdr:col>11</xdr:col>
      <xdr:colOff>2677</xdr:colOff>
      <xdr:row>3</xdr:row>
      <xdr:rowOff>117595</xdr:rowOff>
    </xdr:to>
    <xdr:pic>
      <xdr:nvPicPr>
        <xdr:cNvPr id="3" name="Picture 2">
          <a:extLst>
            <a:ext uri="{FF2B5EF4-FFF2-40B4-BE49-F238E27FC236}">
              <a16:creationId xmlns:a16="http://schemas.microsoft.com/office/drawing/2014/main" id="{CB3DDC94-9C9C-447B-93AE-66AB8CB3B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74562" y="261937"/>
          <a:ext cx="1436190" cy="504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1174750</xdr:colOff>
      <xdr:row>1</xdr:row>
      <xdr:rowOff>174625</xdr:rowOff>
    </xdr:from>
    <xdr:to>
      <xdr:col>10</xdr:col>
      <xdr:colOff>879295</xdr:colOff>
      <xdr:row>3</xdr:row>
      <xdr:rowOff>187128</xdr:rowOff>
    </xdr:to>
    <xdr:pic>
      <xdr:nvPicPr>
        <xdr:cNvPr id="4" name="Picture 3">
          <a:extLst>
            <a:ext uri="{FF2B5EF4-FFF2-40B4-BE49-F238E27FC236}">
              <a16:creationId xmlns:a16="http://schemas.microsoft.com/office/drawing/2014/main" id="{C5B07394-5C57-4F56-AE1A-7EFBC48A2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0750" y="317500"/>
          <a:ext cx="1436190" cy="5049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1628" displayName="Table1628" ref="G9:L484" totalsRowShown="0" headerRowDxfId="62" dataDxfId="61" tableBorderDxfId="60">
  <autoFilter ref="G9:L484" xr:uid="{00000000-0009-0000-0100-00001B000000}"/>
  <tableColumns count="6">
    <tableColumn id="1" xr3:uid="{00000000-0010-0000-0000-000001000000}" name="Practice" dataDxfId="59"/>
    <tableColumn id="2" xr3:uid="{00000000-0010-0000-0000-000002000000}" name="Answer" dataDxfId="58"/>
    <tableColumn id="3" xr3:uid="{00000000-0010-0000-0000-000003000000}" name="Comment" dataDxfId="57"/>
    <tableColumn id="4" xr3:uid="{00000000-0010-0000-0000-000004000000}" name="Int_reference" dataDxfId="56"/>
    <tableColumn id="5" xr3:uid="{00000000-0010-0000-0000-000005000000}" name="Ext_reference" dataDxfId="55"/>
    <tableColumn id="6" xr3:uid="{00000000-0010-0000-0000-000006000000}" name="Development" dataDxfId="54"/>
  </tableColumns>
  <tableStyleInfo name="TableStyleLight1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1000000}" name="Table29" displayName="Table29" ref="D9:E483" totalsRowShown="0" headerRowDxfId="53" dataDxfId="52" tableBorderDxfId="51">
  <autoFilter ref="D9:E483" xr:uid="{00000000-0009-0000-0100-00001D000000}"/>
  <tableColumns count="2">
    <tableColumn id="1" xr3:uid="{00000000-0010-0000-0100-000001000000}" name="Practice" dataDxfId="50"/>
    <tableColumn id="2" xr3:uid="{00000000-0010-0000-0100-000002000000}" name="Answer" dataDxfId="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ExportKTK" displayName="ExportKTK" ref="A5:B480" totalsRowShown="0" headerRowDxfId="48" dataDxfId="47" tableBorderDxfId="46">
  <autoFilter ref="A5:B480" xr:uid="{00000000-0009-0000-0100-000009000000}"/>
  <tableColumns count="2">
    <tableColumn id="1" xr3:uid="{00000000-0010-0000-0200-000001000000}" name="Practice" dataDxfId="45"/>
    <tableColumn id="2" xr3:uid="{00000000-0010-0000-0200-000002000000}" name="Answer" dataDxfId="4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J20:K31" totalsRowShown="0" headerRowDxfId="43" dataDxfId="41" headerRowBorderDxfId="42" tableBorderDxfId="40">
  <autoFilter ref="J20:K31" xr:uid="{00000000-0009-0000-0100-000002000000}"/>
  <tableColumns count="2">
    <tableColumn id="1" xr3:uid="{00000000-0010-0000-0300-000001000000}" name="(ENG) Domain" dataDxfId="39"/>
    <tableColumn id="2" xr3:uid="{00000000-0010-0000-0300-000002000000}" name="(ENG) Answer" dataDxfId="38"/>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M20:N31" totalsRowShown="0" headerRowDxfId="37" dataDxfId="35" headerRowBorderDxfId="36" tableBorderDxfId="34">
  <autoFilter ref="M20:N31" xr:uid="{00000000-0009-0000-0100-000003000000}"/>
  <tableColumns count="2">
    <tableColumn id="1" xr3:uid="{00000000-0010-0000-0400-000001000000}" name="(ENG) Domain" dataDxfId="33"/>
    <tableColumn id="2" xr3:uid="{00000000-0010-0000-0400-000002000000}" name="(ENG) Answer" dataDxfId="32"/>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26" displayName="Table26" ref="C11:H485" totalsRowShown="0" headerRowDxfId="31" dataDxfId="29" headerRowBorderDxfId="30" tableBorderDxfId="28">
  <autoFilter ref="C11:H485" xr:uid="{00000000-0009-0000-0100-000005000000}"/>
  <tableColumns count="6">
    <tableColumn id="1" xr3:uid="{00000000-0010-0000-0500-000001000000}" name="(FIN) Käytäntö" dataDxfId="27"/>
    <tableColumn id="2" xr3:uid="{00000000-0010-0000-0500-000002000000}" name="(FIN) Vastaus" dataDxfId="26"/>
    <tableColumn id="3" xr3:uid="{00000000-0010-0000-0500-000003000000}" name="(FIN) Kommentit" dataDxfId="25"/>
    <tableColumn id="5" xr3:uid="{00000000-0010-0000-0500-000005000000}" name="(FIN) Sisäinen viittaus" dataDxfId="24"/>
    <tableColumn id="6" xr3:uid="{00000000-0010-0000-0500-000006000000}" name="(FIN) Ulkoinen viittaus" dataDxfId="23"/>
    <tableColumn id="4" xr3:uid="{00000000-0010-0000-0500-000004000000}" name="(FIN) Kehityskohde" dataDxfId="22"/>
  </tableColumns>
  <tableStyleInfo name="TableStyleMedium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27" displayName="Table27" ref="J11:K16" totalsRowShown="0" headerRowDxfId="21" dataDxfId="19" headerRowBorderDxfId="20" tableBorderDxfId="18">
  <autoFilter ref="J11:K16" xr:uid="{00000000-0009-0000-0100-000006000000}"/>
  <tableColumns count="2">
    <tableColumn id="1" xr3:uid="{00000000-0010-0000-0600-000001000000}" name="(ENG) Domain" dataDxfId="17"/>
    <tableColumn id="2" xr3:uid="{00000000-0010-0000-0600-000002000000}" name="(ENG) Answer" dataDxfId="16"/>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278" displayName="Table278" ref="M11:N16" totalsRowShown="0" headerRowDxfId="15" dataDxfId="13" headerRowBorderDxfId="14" tableBorderDxfId="12">
  <autoFilter ref="M11:N16" xr:uid="{00000000-0009-0000-0100-000007000000}"/>
  <tableColumns count="2">
    <tableColumn id="1" xr3:uid="{00000000-0010-0000-0700-000001000000}" name="(ENG) Domain" dataDxfId="11"/>
    <tableColumn id="2" xr3:uid="{00000000-0010-0000-0700-000002000000}" name="(ENG) Answer" dataDxfId="10"/>
  </tableColumns>
  <tableStyleInfo name="TableStyleMedium20" showFirstColumn="0" showLastColumn="0" showRowStripes="1" showColumnStripes="0"/>
</table>
</file>

<file path=xl/theme/theme1.xml><?xml version="1.0" encoding="utf-8"?>
<a:theme xmlns:a="http://schemas.openxmlformats.org/drawingml/2006/main" name="A) Traficom 1 su">
  <a:themeElements>
    <a:clrScheme name="Traficom">
      <a:dk1>
        <a:sysClr val="windowText" lastClr="000000"/>
      </a:dk1>
      <a:lt1>
        <a:sysClr val="window" lastClr="FFFFFF"/>
      </a:lt1>
      <a:dk2>
        <a:srgbClr val="018285"/>
      </a:dk2>
      <a:lt2>
        <a:srgbClr val="1C6BBA"/>
      </a:lt2>
      <a:accent1>
        <a:srgbClr val="00AEB2"/>
      </a:accent1>
      <a:accent2>
        <a:srgbClr val="018285"/>
      </a:accent2>
      <a:accent3>
        <a:srgbClr val="81D600"/>
      </a:accent3>
      <a:accent4>
        <a:srgbClr val="EC017F"/>
      </a:accent4>
      <a:accent5>
        <a:srgbClr val="0058B1"/>
      </a:accent5>
      <a:accent6>
        <a:srgbClr val="159637"/>
      </a:accent6>
      <a:hlink>
        <a:srgbClr val="0563C1"/>
      </a:hlink>
      <a:folHlink>
        <a:srgbClr val="954F72"/>
      </a:folHlink>
    </a:clrScheme>
    <a:fontScheme name="Mukautettu 1">
      <a:majorFont>
        <a:latin typeface="Verdana"/>
        <a:ea typeface=""/>
        <a:cs typeface=""/>
      </a:majorFont>
      <a:minorFont>
        <a:latin typeface="Verdana"/>
        <a:ea typeface=""/>
        <a:cs typeface=""/>
      </a:minorFont>
    </a:fontScheme>
    <a:fmtScheme name="Office-te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AEB2"/>
        </a:solidFill>
        <a:ln>
          <a:solidFill>
            <a:srgbClr val="00AEB2"/>
          </a:solidFill>
        </a:ln>
      </a:spPr>
      <a:bodyPr rtlCol="0" anchor="t"/>
      <a:lstStyle>
        <a:defPPr algn="ctr">
          <a:defRPr dirty="0" err="1" smtClean="0">
            <a:solidFill>
              <a:schemeClr val="bg1"/>
            </a:solidFill>
            <a:latin typeface="+mj-lt"/>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rgbClr val="00AEB2"/>
          </a:solidFill>
        </a:ln>
      </a:spPr>
      <a:bodyPr/>
      <a:lstStyle/>
      <a:style>
        <a:lnRef idx="1">
          <a:schemeClr val="accent1"/>
        </a:lnRef>
        <a:fillRef idx="0">
          <a:schemeClr val="accent1"/>
        </a:fillRef>
        <a:effectRef idx="0">
          <a:schemeClr val="accent1"/>
        </a:effectRef>
        <a:fontRef idx="minor">
          <a:schemeClr val="tx1"/>
        </a:fontRef>
      </a:style>
    </a:lnDef>
    <a:txDef>
      <a:spPr>
        <a:solidFill>
          <a:srgbClr val="00AEB2"/>
        </a:solidFill>
      </a:spPr>
      <a:bodyPr wrap="none" rtlCol="0">
        <a:spAutoFit/>
      </a:bodyPr>
      <a:lstStyle>
        <a:defPPr algn="l">
          <a:defRPr dirty="0" err="1" smtClean="0">
            <a:solidFill>
              <a:schemeClr val="bg1"/>
            </a:solidFill>
          </a:defRPr>
        </a:defPPr>
      </a:lstStyle>
    </a:txDef>
  </a:objectDefaults>
  <a:extraClrSchemeLst/>
  <a:custClrLst>
    <a:custClr name="Traficom 1">
      <a:srgbClr val="00AEB2"/>
    </a:custClr>
    <a:custClr name="Traficom 2">
      <a:srgbClr val="018285"/>
    </a:custClr>
    <a:custClr name="Traficom 3">
      <a:srgbClr val="0058B1"/>
    </a:custClr>
    <a:custClr name="Traficom 4">
      <a:srgbClr val="159637"/>
    </a:custClr>
    <a:custClr name="Traficom 5">
      <a:srgbClr val="81D600"/>
    </a:custClr>
    <a:custClr name="Traficom 6">
      <a:srgbClr val="009EFF"/>
    </a:custClr>
    <a:custClr name="Traficom 7">
      <a:srgbClr val="0066CC"/>
    </a:custClr>
    <a:custClr name="Traficom 8">
      <a:srgbClr val="EC017F"/>
    </a:custClr>
    <a:custClr name="Traficom 9">
      <a:srgbClr val="E90008"/>
    </a:custClr>
    <a:custClr name="Traficom 10">
      <a:srgbClr val="FF7D00"/>
    </a:custClr>
    <a:custClr name="Traficom 11">
      <a:srgbClr val="FFD400"/>
    </a:custClr>
    <a:custClr name="Traficom 12">
      <a:srgbClr val="056805"/>
    </a:custClr>
    <a:custClr name="Traficom 13">
      <a:srgbClr val="026273"/>
    </a:custClr>
    <a:custClr name="Traficom 14">
      <a:srgbClr val="002C74"/>
    </a:custClr>
    <a:custClr name="Traficom 15">
      <a:srgbClr val="820084"/>
    </a:custClr>
    <a:custClr name="Traficom 16">
      <a:srgbClr val="9E003B"/>
    </a:custClr>
  </a:custClrLst>
  <a:extLst>
    <a:ext uri="{05A4C25C-085E-4340-85A3-A5531E510DB2}">
      <thm15:themeFamily xmlns:thm15="http://schemas.microsoft.com/office/thememl/2012/main" name="A) Traficom 1 su" id="{417F7FBC-8D82-49A1-8EC6-4B6731C85255}" vid="{FB2437AC-8BEC-40D3-B6CF-A3569723B9A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table" Target="../tables/table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drawing" Target="../drawings/drawing22.xml"/><Relationship Id="rId1" Type="http://schemas.openxmlformats.org/officeDocument/2006/relationships/printerSettings" Target="../printerSettings/printerSettings2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nccoe.nist.gov/sites/default/files/2023-03/DOE-C2M2V2_1-CSF-mapping.xlsx" TargetMode="External"/><Relationship Id="rId1" Type="http://schemas.openxmlformats.org/officeDocument/2006/relationships/hyperlink" Target="https://energy.gov/c2m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G50"/>
  <sheetViews>
    <sheetView tabSelected="1" workbookViewId="0"/>
  </sheetViews>
  <sheetFormatPr defaultRowHeight="13.8" x14ac:dyDescent="0.25"/>
  <cols>
    <col min="1" max="1" width="8.7265625" style="595"/>
    <col min="2" max="2" width="3.26953125" style="595" customWidth="1"/>
    <col min="3" max="3" width="12.54296875" style="595" customWidth="1"/>
    <col min="4" max="4" width="10.26953125" style="595" customWidth="1"/>
    <col min="5" max="5" width="56.08984375" style="595" customWidth="1"/>
    <col min="6" max="6" width="2.08984375" style="595" customWidth="1"/>
    <col min="7" max="16384" width="8.7265625" style="595"/>
  </cols>
  <sheetData>
    <row r="1" spans="1:7" x14ac:dyDescent="0.25">
      <c r="A1" s="135"/>
      <c r="B1" s="135"/>
      <c r="C1" s="135"/>
      <c r="D1" s="135"/>
      <c r="E1" s="135"/>
      <c r="F1" s="135"/>
      <c r="G1" s="135"/>
    </row>
    <row r="2" spans="1:7" x14ac:dyDescent="0.25">
      <c r="A2" s="252"/>
      <c r="B2" s="723"/>
      <c r="C2" s="724" t="s">
        <v>1966</v>
      </c>
      <c r="D2" s="724" t="s">
        <v>1967</v>
      </c>
      <c r="E2" s="724" t="s">
        <v>1968</v>
      </c>
      <c r="F2" s="725"/>
      <c r="G2" s="252"/>
    </row>
    <row r="3" spans="1:7" ht="14.4" thickBot="1" x14ac:dyDescent="0.3">
      <c r="A3" s="135"/>
      <c r="B3" s="790"/>
      <c r="C3" s="791" t="s">
        <v>2597</v>
      </c>
      <c r="D3" s="791"/>
      <c r="E3" s="791"/>
      <c r="F3" s="792"/>
      <c r="G3" s="135"/>
    </row>
    <row r="4" spans="1:7" x14ac:dyDescent="0.25">
      <c r="A4" s="166"/>
      <c r="B4" s="726"/>
      <c r="C4" s="1001"/>
      <c r="D4" s="1001"/>
      <c r="E4" s="1001"/>
      <c r="F4" s="727"/>
      <c r="G4" s="274"/>
    </row>
    <row r="5" spans="1:7" x14ac:dyDescent="0.25">
      <c r="A5" s="166"/>
      <c r="B5" s="726"/>
      <c r="C5" s="1135" t="s">
        <v>3499</v>
      </c>
      <c r="D5" s="1136"/>
      <c r="E5" s="1137"/>
      <c r="F5" s="727"/>
      <c r="G5" s="274"/>
    </row>
    <row r="6" spans="1:7" x14ac:dyDescent="0.25">
      <c r="A6" s="166"/>
      <c r="B6" s="726"/>
      <c r="C6" s="1138"/>
      <c r="D6" s="1139"/>
      <c r="E6" s="1140"/>
      <c r="F6" s="727"/>
      <c r="G6" s="274"/>
    </row>
    <row r="7" spans="1:7" x14ac:dyDescent="0.25">
      <c r="A7" s="166"/>
      <c r="B7" s="726"/>
      <c r="C7" s="1138"/>
      <c r="D7" s="1139"/>
      <c r="E7" s="1140"/>
      <c r="F7" s="727"/>
      <c r="G7" s="274"/>
    </row>
    <row r="8" spans="1:7" x14ac:dyDescent="0.25">
      <c r="A8" s="166"/>
      <c r="B8" s="726"/>
      <c r="C8" s="1138"/>
      <c r="D8" s="1139"/>
      <c r="E8" s="1140"/>
      <c r="F8" s="727"/>
      <c r="G8" s="274"/>
    </row>
    <row r="9" spans="1:7" x14ac:dyDescent="0.25">
      <c r="A9" s="166"/>
      <c r="B9" s="726"/>
      <c r="C9" s="1138"/>
      <c r="D9" s="1139"/>
      <c r="E9" s="1140"/>
      <c r="F9" s="727"/>
      <c r="G9" s="274"/>
    </row>
    <row r="10" spans="1:7" x14ac:dyDescent="0.25">
      <c r="A10" s="166"/>
      <c r="B10" s="726"/>
      <c r="C10" s="1138"/>
      <c r="D10" s="1139"/>
      <c r="E10" s="1140"/>
      <c r="F10" s="727"/>
      <c r="G10" s="274"/>
    </row>
    <row r="11" spans="1:7" x14ac:dyDescent="0.25">
      <c r="A11" s="166"/>
      <c r="B11" s="726"/>
      <c r="C11" s="1138"/>
      <c r="D11" s="1139"/>
      <c r="E11" s="1140"/>
      <c r="F11" s="727"/>
      <c r="G11" s="274"/>
    </row>
    <row r="12" spans="1:7" x14ac:dyDescent="0.25">
      <c r="A12" s="166"/>
      <c r="B12" s="726"/>
      <c r="C12" s="1138"/>
      <c r="D12" s="1139"/>
      <c r="E12" s="1140"/>
      <c r="F12" s="727"/>
      <c r="G12" s="274"/>
    </row>
    <row r="13" spans="1:7" x14ac:dyDescent="0.25">
      <c r="A13" s="166"/>
      <c r="B13" s="726"/>
      <c r="C13" s="1138"/>
      <c r="D13" s="1139"/>
      <c r="E13" s="1140"/>
      <c r="F13" s="727"/>
      <c r="G13" s="274"/>
    </row>
    <row r="14" spans="1:7" x14ac:dyDescent="0.25">
      <c r="A14" s="166"/>
      <c r="B14" s="726"/>
      <c r="C14" s="1138"/>
      <c r="D14" s="1139"/>
      <c r="E14" s="1140"/>
      <c r="F14" s="727"/>
      <c r="G14" s="274"/>
    </row>
    <row r="15" spans="1:7" x14ac:dyDescent="0.25">
      <c r="A15" s="166"/>
      <c r="B15" s="726"/>
      <c r="C15" s="1138"/>
      <c r="D15" s="1139"/>
      <c r="E15" s="1140"/>
      <c r="F15" s="727"/>
      <c r="G15" s="274"/>
    </row>
    <row r="16" spans="1:7" x14ac:dyDescent="0.25">
      <c r="A16" s="166"/>
      <c r="B16" s="726"/>
      <c r="C16" s="1138"/>
      <c r="D16" s="1139"/>
      <c r="E16" s="1140"/>
      <c r="F16" s="727"/>
      <c r="G16" s="274"/>
    </row>
    <row r="17" spans="1:7" x14ac:dyDescent="0.25">
      <c r="A17" s="166"/>
      <c r="B17" s="726"/>
      <c r="C17" s="1138"/>
      <c r="D17" s="1139"/>
      <c r="E17" s="1140"/>
      <c r="F17" s="727"/>
      <c r="G17" s="274"/>
    </row>
    <row r="18" spans="1:7" x14ac:dyDescent="0.25">
      <c r="A18" s="166"/>
      <c r="B18" s="726"/>
      <c r="C18" s="1138"/>
      <c r="D18" s="1139"/>
      <c r="E18" s="1140"/>
      <c r="F18" s="727"/>
      <c r="G18" s="274"/>
    </row>
    <row r="19" spans="1:7" x14ac:dyDescent="0.25">
      <c r="A19" s="166"/>
      <c r="B19" s="726"/>
      <c r="C19" s="1138"/>
      <c r="D19" s="1139"/>
      <c r="E19" s="1140"/>
      <c r="F19" s="727"/>
      <c r="G19" s="274"/>
    </row>
    <row r="20" spans="1:7" x14ac:dyDescent="0.25">
      <c r="A20" s="166"/>
      <c r="B20" s="726"/>
      <c r="C20" s="1138"/>
      <c r="D20" s="1139"/>
      <c r="E20" s="1140"/>
      <c r="F20" s="727"/>
      <c r="G20" s="274"/>
    </row>
    <row r="21" spans="1:7" x14ac:dyDescent="0.25">
      <c r="A21" s="166"/>
      <c r="B21" s="726"/>
      <c r="C21" s="1138"/>
      <c r="D21" s="1139"/>
      <c r="E21" s="1140"/>
      <c r="F21" s="727"/>
      <c r="G21" s="274"/>
    </row>
    <row r="22" spans="1:7" x14ac:dyDescent="0.25">
      <c r="A22" s="166"/>
      <c r="B22" s="726"/>
      <c r="C22" s="1138"/>
      <c r="D22" s="1139"/>
      <c r="E22" s="1140"/>
      <c r="F22" s="727"/>
      <c r="G22" s="274"/>
    </row>
    <row r="23" spans="1:7" x14ac:dyDescent="0.25">
      <c r="A23" s="166"/>
      <c r="B23" s="726"/>
      <c r="C23" s="1138"/>
      <c r="D23" s="1139"/>
      <c r="E23" s="1140"/>
      <c r="F23" s="727"/>
      <c r="G23" s="274"/>
    </row>
    <row r="24" spans="1:7" x14ac:dyDescent="0.25">
      <c r="A24" s="166"/>
      <c r="B24" s="726"/>
      <c r="C24" s="1138"/>
      <c r="D24" s="1139"/>
      <c r="E24" s="1140"/>
      <c r="F24" s="727"/>
      <c r="G24" s="274"/>
    </row>
    <row r="25" spans="1:7" x14ac:dyDescent="0.25">
      <c r="A25" s="166"/>
      <c r="B25" s="726"/>
      <c r="C25" s="1138"/>
      <c r="D25" s="1139"/>
      <c r="E25" s="1140"/>
      <c r="F25" s="727"/>
      <c r="G25" s="274"/>
    </row>
    <row r="26" spans="1:7" x14ac:dyDescent="0.25">
      <c r="A26" s="166"/>
      <c r="B26" s="726"/>
      <c r="C26" s="1138"/>
      <c r="D26" s="1139"/>
      <c r="E26" s="1140"/>
      <c r="F26" s="727"/>
      <c r="G26" s="274"/>
    </row>
    <row r="27" spans="1:7" x14ac:dyDescent="0.25">
      <c r="A27" s="166"/>
      <c r="B27" s="726"/>
      <c r="C27" s="1138"/>
      <c r="D27" s="1139"/>
      <c r="E27" s="1140"/>
      <c r="F27" s="727"/>
      <c r="G27" s="274"/>
    </row>
    <row r="28" spans="1:7" x14ac:dyDescent="0.25">
      <c r="A28" s="166"/>
      <c r="B28" s="726"/>
      <c r="C28" s="1138"/>
      <c r="D28" s="1139"/>
      <c r="E28" s="1140"/>
      <c r="F28" s="727"/>
      <c r="G28" s="274"/>
    </row>
    <row r="29" spans="1:7" x14ac:dyDescent="0.25">
      <c r="A29" s="166"/>
      <c r="B29" s="726"/>
      <c r="C29" s="1138"/>
      <c r="D29" s="1139"/>
      <c r="E29" s="1140"/>
      <c r="F29" s="727"/>
      <c r="G29" s="274"/>
    </row>
    <row r="30" spans="1:7" x14ac:dyDescent="0.25">
      <c r="A30" s="166"/>
      <c r="B30" s="726"/>
      <c r="C30" s="1138"/>
      <c r="D30" s="1139"/>
      <c r="E30" s="1140"/>
      <c r="F30" s="727"/>
      <c r="G30" s="274"/>
    </row>
    <row r="31" spans="1:7" x14ac:dyDescent="0.25">
      <c r="A31" s="166"/>
      <c r="B31" s="726"/>
      <c r="C31" s="1138"/>
      <c r="D31" s="1139"/>
      <c r="E31" s="1140"/>
      <c r="F31" s="727"/>
      <c r="G31" s="274"/>
    </row>
    <row r="32" spans="1:7" x14ac:dyDescent="0.25">
      <c r="A32" s="166"/>
      <c r="B32" s="726"/>
      <c r="C32" s="1138"/>
      <c r="D32" s="1139"/>
      <c r="E32" s="1140"/>
      <c r="F32" s="727"/>
      <c r="G32" s="274"/>
    </row>
    <row r="33" spans="1:7" x14ac:dyDescent="0.25">
      <c r="A33" s="166"/>
      <c r="B33" s="726"/>
      <c r="C33" s="1138"/>
      <c r="D33" s="1139"/>
      <c r="E33" s="1140"/>
      <c r="F33" s="727"/>
      <c r="G33" s="274"/>
    </row>
    <row r="34" spans="1:7" x14ac:dyDescent="0.25">
      <c r="A34" s="166"/>
      <c r="B34" s="726"/>
      <c r="C34" s="1138"/>
      <c r="D34" s="1139"/>
      <c r="E34" s="1140"/>
      <c r="F34" s="727"/>
      <c r="G34" s="274"/>
    </row>
    <row r="35" spans="1:7" x14ac:dyDescent="0.25">
      <c r="A35" s="166"/>
      <c r="B35" s="726"/>
      <c r="C35" s="1138"/>
      <c r="D35" s="1139"/>
      <c r="E35" s="1140"/>
      <c r="F35" s="727"/>
      <c r="G35" s="274"/>
    </row>
    <row r="36" spans="1:7" x14ac:dyDescent="0.25">
      <c r="A36" s="166"/>
      <c r="B36" s="726"/>
      <c r="C36" s="1138"/>
      <c r="D36" s="1139"/>
      <c r="E36" s="1140"/>
      <c r="F36" s="727"/>
      <c r="G36" s="274"/>
    </row>
    <row r="37" spans="1:7" x14ac:dyDescent="0.25">
      <c r="A37" s="166"/>
      <c r="B37" s="726"/>
      <c r="C37" s="1138"/>
      <c r="D37" s="1139"/>
      <c r="E37" s="1140"/>
      <c r="F37" s="727"/>
      <c r="G37" s="274"/>
    </row>
    <row r="38" spans="1:7" ht="13.2" customHeight="1" x14ac:dyDescent="0.25">
      <c r="A38" s="733"/>
      <c r="B38" s="734"/>
      <c r="C38" s="1138"/>
      <c r="D38" s="1139"/>
      <c r="E38" s="1140"/>
      <c r="F38" s="735"/>
      <c r="G38" s="736"/>
    </row>
    <row r="39" spans="1:7" ht="13.2" customHeight="1" x14ac:dyDescent="0.25">
      <c r="A39" s="733"/>
      <c r="B39" s="734"/>
      <c r="C39" s="1138"/>
      <c r="D39" s="1139"/>
      <c r="E39" s="1140"/>
      <c r="F39" s="735"/>
      <c r="G39" s="736"/>
    </row>
    <row r="40" spans="1:7" ht="13.2" customHeight="1" x14ac:dyDescent="0.25">
      <c r="A40" s="733"/>
      <c r="B40" s="734"/>
      <c r="C40" s="1138"/>
      <c r="D40" s="1139"/>
      <c r="E40" s="1140"/>
      <c r="F40" s="735"/>
      <c r="G40" s="736"/>
    </row>
    <row r="41" spans="1:7" ht="13.2" customHeight="1" x14ac:dyDescent="0.25">
      <c r="A41" s="733"/>
      <c r="B41" s="734"/>
      <c r="C41" s="1138"/>
      <c r="D41" s="1139"/>
      <c r="E41" s="1140"/>
      <c r="F41" s="735"/>
      <c r="G41" s="736"/>
    </row>
    <row r="42" spans="1:7" ht="13.2" customHeight="1" x14ac:dyDescent="0.25">
      <c r="A42" s="733"/>
      <c r="B42" s="734"/>
      <c r="C42" s="1138"/>
      <c r="D42" s="1139"/>
      <c r="E42" s="1140"/>
      <c r="F42" s="735"/>
      <c r="G42" s="736"/>
    </row>
    <row r="43" spans="1:7" ht="13.2" customHeight="1" x14ac:dyDescent="0.25">
      <c r="A43" s="733"/>
      <c r="B43" s="734"/>
      <c r="C43" s="1138"/>
      <c r="D43" s="1139"/>
      <c r="E43" s="1140"/>
      <c r="F43" s="735"/>
      <c r="G43" s="736"/>
    </row>
    <row r="44" spans="1:7" ht="13.2" customHeight="1" x14ac:dyDescent="0.25">
      <c r="A44" s="733"/>
      <c r="B44" s="734"/>
      <c r="C44" s="1138"/>
      <c r="D44" s="1139"/>
      <c r="E44" s="1140"/>
      <c r="F44" s="735"/>
      <c r="G44" s="736"/>
    </row>
    <row r="45" spans="1:7" ht="13.2" customHeight="1" x14ac:dyDescent="0.25">
      <c r="A45" s="733"/>
      <c r="B45" s="734"/>
      <c r="C45" s="1138"/>
      <c r="D45" s="1139"/>
      <c r="E45" s="1140"/>
      <c r="F45" s="735"/>
      <c r="G45" s="736"/>
    </row>
    <row r="46" spans="1:7" ht="13.2" customHeight="1" x14ac:dyDescent="0.25">
      <c r="A46" s="733"/>
      <c r="B46" s="734"/>
      <c r="C46" s="1138"/>
      <c r="D46" s="1139"/>
      <c r="E46" s="1140"/>
      <c r="F46" s="735"/>
      <c r="G46" s="736"/>
    </row>
    <row r="47" spans="1:7" ht="13.2" customHeight="1" x14ac:dyDescent="0.25">
      <c r="A47" s="733"/>
      <c r="B47" s="734"/>
      <c r="C47" s="1138"/>
      <c r="D47" s="1139"/>
      <c r="E47" s="1140"/>
      <c r="F47" s="735"/>
      <c r="G47" s="736"/>
    </row>
    <row r="48" spans="1:7" ht="118.8" customHeight="1" x14ac:dyDescent="0.25">
      <c r="A48" s="733"/>
      <c r="B48" s="734"/>
      <c r="C48" s="1141"/>
      <c r="D48" s="1142"/>
      <c r="E48" s="1143"/>
      <c r="F48" s="735"/>
      <c r="G48" s="736"/>
    </row>
    <row r="49" spans="1:7" x14ac:dyDescent="0.25">
      <c r="A49" s="236"/>
      <c r="B49" s="728"/>
      <c r="C49" s="729"/>
      <c r="D49" s="730"/>
      <c r="E49" s="730"/>
      <c r="F49" s="731"/>
      <c r="G49" s="236"/>
    </row>
    <row r="50" spans="1:7" x14ac:dyDescent="0.25">
      <c r="A50" s="236"/>
      <c r="B50" s="236"/>
      <c r="C50" s="236"/>
      <c r="D50" s="236"/>
      <c r="E50" s="236"/>
      <c r="F50" s="236"/>
      <c r="G50" s="236"/>
    </row>
  </sheetData>
  <mergeCells count="1">
    <mergeCell ref="C5:E4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2" tint="0.79998168889431442"/>
  </sheetPr>
  <dimension ref="A1:U87"/>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5429687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812"/>
      <c r="O2" s="813"/>
      <c r="P2" s="813"/>
      <c r="Q2" s="813"/>
      <c r="R2" s="813"/>
      <c r="S2" s="813"/>
      <c r="T2" s="814"/>
      <c r="U2" s="252"/>
    </row>
    <row r="3" spans="1:21" s="257" customFormat="1" ht="25.05" customHeight="1" x14ac:dyDescent="0.25">
      <c r="A3" s="252"/>
      <c r="B3" s="149"/>
      <c r="C3" s="150" t="s">
        <v>69</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15"/>
      <c r="O3" s="1184" t="str">
        <f>VLOOKUP($C$3,Infoimport!$B$4:$C$14,2,FALSE)</f>
        <v xml:space="preserve">RESPONSE, tiedot Infoimport-välilehdeltä
</v>
      </c>
      <c r="P3" s="1184"/>
      <c r="Q3" s="1184"/>
      <c r="R3" s="1184"/>
      <c r="S3" s="1184"/>
      <c r="T3" s="816"/>
      <c r="U3" s="252"/>
    </row>
    <row r="4" spans="1:21" s="318" customFormat="1" ht="25.05" customHeight="1" x14ac:dyDescent="0.3">
      <c r="A4" s="316"/>
      <c r="B4" s="317"/>
      <c r="C4" s="155" t="str">
        <f>IF(VLOOKUP($C$3,Languages!$A:$D,1,TRUE)=$C$3,VLOOKUP($C$3,Languages!$A:$D,Summary!$C$7,TRUE),NA())</f>
        <v>Tapahtumien ja häiriöiden hallinta, toiminnan jatkuvuus (RESPONSE)</v>
      </c>
      <c r="D4" s="258"/>
      <c r="E4" s="259"/>
      <c r="F4" s="320"/>
      <c r="G4" s="320"/>
      <c r="H4" s="261" t="str">
        <f ca="1">VLOOKUP(VLOOKUP(CONCATENATE($C$3),Data!$K:$O,5,FALSE),Parameters!$C$7:$F$10,Summary!$C$7,FALSE)</f>
        <v>Kypsyystaso 0</v>
      </c>
      <c r="I4" s="697"/>
      <c r="J4" s="262"/>
      <c r="K4" s="148"/>
      <c r="L4" s="154"/>
      <c r="M4" s="252"/>
      <c r="N4" s="815"/>
      <c r="O4" s="1184"/>
      <c r="P4" s="1184"/>
      <c r="Q4" s="1184"/>
      <c r="R4" s="1184"/>
      <c r="S4" s="1184"/>
      <c r="T4" s="816"/>
      <c r="U4" s="252"/>
    </row>
    <row r="5" spans="1:21" ht="10.050000000000001" customHeight="1" x14ac:dyDescent="0.25">
      <c r="A5" s="178"/>
      <c r="B5" s="308"/>
      <c r="C5" s="321"/>
      <c r="D5" s="322"/>
      <c r="E5" s="322"/>
      <c r="F5" s="261"/>
      <c r="G5" s="261"/>
      <c r="H5" s="797"/>
      <c r="I5" s="262"/>
      <c r="J5" s="262"/>
      <c r="K5" s="148"/>
      <c r="L5" s="154"/>
      <c r="M5" s="252"/>
      <c r="N5" s="815"/>
      <c r="O5" s="1184"/>
      <c r="P5" s="1184"/>
      <c r="Q5" s="1184"/>
      <c r="R5" s="1184"/>
      <c r="S5" s="1184"/>
      <c r="T5" s="816"/>
      <c r="U5" s="252"/>
    </row>
    <row r="6" spans="1:21" ht="74.55" customHeight="1" x14ac:dyDescent="0.2">
      <c r="A6" s="178"/>
      <c r="B6" s="308"/>
      <c r="C6" s="1204" t="str">
        <f>IF(VLOOKUP(CONCATENATE(C3,"-0"),Languages!$A:$D,1,TRUE)=CONCATENATE(C3,"-0"),VLOOKUP(CONCATENATE(C3,"-0"),Languages!$A:$D,Summary!$C$7,TRUE),NA())</f>
        <v>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v>
      </c>
      <c r="D6" s="1204"/>
      <c r="E6" s="1204"/>
      <c r="F6" s="1204"/>
      <c r="G6" s="1204"/>
      <c r="H6" s="1204"/>
      <c r="I6" s="1204"/>
      <c r="J6" s="1204"/>
      <c r="K6" s="1204"/>
      <c r="L6" s="154"/>
      <c r="M6" s="252"/>
      <c r="N6" s="815"/>
      <c r="O6" s="1184"/>
      <c r="P6" s="1184"/>
      <c r="Q6" s="1184"/>
      <c r="R6" s="1184"/>
      <c r="S6" s="1184"/>
      <c r="T6" s="816"/>
      <c r="U6" s="252"/>
    </row>
    <row r="7" spans="1:21" ht="14.4" customHeight="1" x14ac:dyDescent="0.2">
      <c r="A7" s="178"/>
      <c r="B7" s="308"/>
      <c r="C7" s="264">
        <v>1</v>
      </c>
      <c r="D7" s="265" t="s">
        <v>1</v>
      </c>
      <c r="E7" s="266" t="str">
        <f>IF(VLOOKUP(CONCATENATE($C$3,"-",C7),Languages!$A:$D,1,TRUE)=CONCATENATE($C$3,"-",C7),VLOOKUP(CONCATENATE($C$3,"-",C7),Languages!$A:$D,Summary!$C$7,TRUE),NA())</f>
        <v>Tapahtumien havainnointi</v>
      </c>
      <c r="H7" s="267" t="str">
        <f ca="1">VLOOKUP(VLOOKUP(CONCATENATE($C$3,"-",$C7),Data!$K:$O,5,FALSE),Parameters!$C$7:$F$10,Summary!$C$7,FALSE)</f>
        <v>Kypsyystaso 0</v>
      </c>
      <c r="I7" s="465" t="str">
        <f>IF(VLOOKUP("KM110",Languages!$A:$D,1,TRUE)="KM110",VLOOKUP("KM110",Languages!$A:$D,Summary!$C$7,TRUE),NA())</f>
        <v>Päivämäärä</v>
      </c>
      <c r="J7" s="439"/>
      <c r="K7" s="148"/>
      <c r="L7" s="154"/>
      <c r="M7" s="252"/>
      <c r="N7" s="815"/>
      <c r="O7" s="1184"/>
      <c r="P7" s="1184"/>
      <c r="Q7" s="1184"/>
      <c r="R7" s="1184"/>
      <c r="S7" s="1184"/>
      <c r="T7" s="816"/>
      <c r="U7" s="252"/>
    </row>
    <row r="8" spans="1:21" ht="14.4" customHeight="1" x14ac:dyDescent="0.25">
      <c r="A8" s="178"/>
      <c r="B8" s="308"/>
      <c r="C8" s="264">
        <v>2</v>
      </c>
      <c r="D8" s="265" t="s">
        <v>1</v>
      </c>
      <c r="E8" s="266" t="str">
        <f>IF(VLOOKUP(CONCATENATE($C$3,"-",C8),Languages!$A:$D,1,TRUE)=CONCATENATE($C$3,"-",C8),VLOOKUP(CONCATENATE($C$3,"-",C8),Languages!$A:$D,Summary!$C$7,TRUE),NA())</f>
        <v>Tapahtumien analysointi ja häiriötilanteiden määrittäminen</v>
      </c>
      <c r="F8" s="324"/>
      <c r="H8" s="267" t="str">
        <f ca="1">VLOOKUP(VLOOKUP(CONCATENATE($C$3,"-",$C8),Data!$K:$O,5,FALSE),Parameters!$C$7:$F$10,Summary!$C$7,FALSE)</f>
        <v>Kypsyystaso 0</v>
      </c>
      <c r="I8" s="1213"/>
      <c r="J8" s="1206"/>
      <c r="K8" s="148"/>
      <c r="L8" s="154"/>
      <c r="M8" s="252"/>
      <c r="N8" s="815"/>
      <c r="O8" s="1184"/>
      <c r="P8" s="1184"/>
      <c r="Q8" s="1184"/>
      <c r="R8" s="1184"/>
      <c r="S8" s="1184"/>
      <c r="T8" s="816"/>
      <c r="U8" s="252"/>
    </row>
    <row r="9" spans="1:21" ht="14.4" customHeight="1" x14ac:dyDescent="0.2">
      <c r="A9" s="178"/>
      <c r="B9" s="308"/>
      <c r="C9" s="264">
        <v>3</v>
      </c>
      <c r="D9" s="265" t="s">
        <v>1</v>
      </c>
      <c r="E9" s="266" t="str">
        <f>IF(VLOOKUP(CONCATENATE($C$3,"-",C9),Languages!$A:$D,1,TRUE)=CONCATENATE($C$3,"-",C9),VLOOKUP(CONCATENATE($C$3,"-",C9),Languages!$A:$D,Summary!$C$7,TRUE),NA())</f>
        <v>Tapahtumiin ja häiriöihin reagoiminen</v>
      </c>
      <c r="F9" s="325"/>
      <c r="H9" s="267" t="str">
        <f ca="1">VLOOKUP(VLOOKUP(CONCATENATE($C$3,"-",$C9),Data!$K:$O,5,FALSE),Parameters!$C$7:$F$10,Summary!$C$7,FALSE)</f>
        <v>Kypsyystaso 0</v>
      </c>
      <c r="I9" s="465" t="str">
        <f>IF(VLOOKUP("KM111",Languages!$A:$D,1,TRUE)="KM111",VLOOKUP("KM111",Languages!$A:$D,Summary!$C$7,TRUE),NA())</f>
        <v>Osallistujat</v>
      </c>
      <c r="J9" s="439"/>
      <c r="K9" s="148"/>
      <c r="L9" s="154"/>
      <c r="M9" s="252"/>
      <c r="N9" s="815"/>
      <c r="O9" s="1184"/>
      <c r="P9" s="1184"/>
      <c r="Q9" s="1184"/>
      <c r="R9" s="1184"/>
      <c r="S9" s="1184"/>
      <c r="T9" s="816"/>
      <c r="U9" s="252"/>
    </row>
    <row r="10" spans="1:21" ht="14.4" customHeight="1" x14ac:dyDescent="0.2">
      <c r="A10" s="178"/>
      <c r="B10" s="308"/>
      <c r="C10" s="264">
        <v>4</v>
      </c>
      <c r="D10" s="265" t="s">
        <v>1</v>
      </c>
      <c r="E10" s="266" t="str">
        <f>IF(VLOOKUP(CONCATENATE($C$3,"-",C10),Languages!$A:$D,1,TRUE)=CONCATENATE($C$3,"-",C10),VLOOKUP(CONCATENATE($C$3,"-",C10),Languages!$A:$D,Summary!$C$7,TRUE),NA())</f>
        <v>Kyberturvallisuus osana toiminnan jatkuvuutta</v>
      </c>
      <c r="F10" s="1118"/>
      <c r="H10" s="267" t="str">
        <f ca="1">VLOOKUP(VLOOKUP(CONCATENATE($C$3,"-",$C10),Data!$K:$O,5,FALSE),Parameters!$C$7:$F$10,Summary!$C$7,FALSE)</f>
        <v>Kypsyystaso 0</v>
      </c>
      <c r="I10" s="1194"/>
      <c r="J10" s="1195"/>
      <c r="K10" s="148"/>
      <c r="L10" s="154"/>
      <c r="M10" s="252"/>
      <c r="N10" s="815"/>
      <c r="O10" s="1184"/>
      <c r="P10" s="1184"/>
      <c r="Q10" s="1184"/>
      <c r="R10" s="1184"/>
      <c r="S10" s="1184"/>
      <c r="T10" s="816"/>
      <c r="U10" s="252"/>
    </row>
    <row r="11" spans="1:21" ht="14.4" customHeight="1" x14ac:dyDescent="0.2">
      <c r="A11" s="178"/>
      <c r="B11" s="308"/>
      <c r="C11" s="264">
        <v>5</v>
      </c>
      <c r="D11" s="265" t="s">
        <v>1</v>
      </c>
      <c r="E11" s="266" t="str">
        <f>IF(VLOOKUP(CONCATENATE($C$3,"-",C11),Languages!$A:$D,1,TRUE)=CONCATENATE($C$3,"-",C11),VLOOKUP(CONCATENATE($C$3,"-",C11),Languages!$A:$D,Summary!$C$7,TRUE),NA())</f>
        <v>Yleisiä hallintatoimia</v>
      </c>
      <c r="F11" s="1118"/>
      <c r="H11" s="267" t="str">
        <f ca="1">VLOOKUP(VLOOKUP(CONCATENATE($C$3,"-",$C11),Data!$K:$O,5,FALSE),Parameters!$C$7:$F$10,Summary!$C$7,FALSE)</f>
        <v>Kypsyystaso 1</v>
      </c>
      <c r="I11" s="1196"/>
      <c r="J11" s="1197"/>
      <c r="K11" s="148"/>
      <c r="L11" s="154"/>
      <c r="M11" s="252"/>
      <c r="N11" s="815"/>
      <c r="O11" s="1184"/>
      <c r="P11" s="1184"/>
      <c r="Q11" s="1184"/>
      <c r="R11" s="1184"/>
      <c r="S11" s="1184"/>
      <c r="T11" s="816"/>
      <c r="U11" s="252"/>
    </row>
    <row r="12" spans="1:21" s="177" customFormat="1" ht="30" customHeight="1" x14ac:dyDescent="0.25">
      <c r="A12" s="166"/>
      <c r="B12" s="269"/>
      <c r="C12" s="170">
        <v>1</v>
      </c>
      <c r="D12" s="170" t="str">
        <f>IF(VLOOKUP(CONCATENATE($C$3,"-",C12),Languages!$A:$D,1,TRUE)=CONCATENATE($C$3,"-",C12),VLOOKUP(CONCATENATE($C$3,"-",C12),Languages!$A:$D,Summary!$C$7,TRUE),NA())</f>
        <v>Tapahtumien havainnointi</v>
      </c>
      <c r="E12" s="170"/>
      <c r="F12" s="271"/>
      <c r="G12" s="271"/>
      <c r="H12" s="272"/>
      <c r="I12" s="272"/>
      <c r="J12" s="272"/>
      <c r="K12" s="272"/>
      <c r="L12" s="154"/>
      <c r="M12" s="252"/>
      <c r="N12" s="815"/>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16"/>
      <c r="U12" s="252"/>
    </row>
    <row r="13" spans="1:21" s="278" customFormat="1" ht="54.45" customHeight="1" x14ac:dyDescent="0.2">
      <c r="A13" s="275"/>
      <c r="B13" s="276"/>
      <c r="C13" s="1216" t="str">
        <f>IF(VLOOKUP(CONCATENATE($C$3,"-",$C12,"-0"),Languages!$A:$D,1,TRUE)=CONCATENATE($C$3,"-",$C12,"-0"),VLOOKUP(CONCATENATE($C$3,"-",$C12,"-0"),Languages!$A:$D,Summary!$C$7,TRUE),NA())</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v>
      </c>
      <c r="D13" s="1216"/>
      <c r="E13" s="1216"/>
      <c r="F13" s="1216"/>
      <c r="G13" s="1216"/>
      <c r="H13" s="1216"/>
      <c r="I13" s="1216"/>
      <c r="J13" s="1216"/>
      <c r="K13" s="1216"/>
      <c r="L13" s="154"/>
      <c r="M13" s="252"/>
      <c r="N13" s="815"/>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16"/>
      <c r="U13" s="252"/>
    </row>
    <row r="14" spans="1:21" s="177" customFormat="1" ht="30" customHeight="1" x14ac:dyDescent="0.25">
      <c r="A14" s="166"/>
      <c r="B14" s="269"/>
      <c r="C14" s="170">
        <v>2</v>
      </c>
      <c r="D14" s="170" t="str">
        <f>IF(VLOOKUP(CONCATENATE($C$3,"-",C14),Languages!$A:$D,1,TRUE)=CONCATENATE($C$3,"-",C14),VLOOKUP(CONCATENATE($C$3,"-",C14),Languages!$A:$D,Summary!$C$7,TRUE),NA())</f>
        <v>Tapahtumien analysointi ja häiriötilanteiden määrittäminen</v>
      </c>
      <c r="E14" s="170"/>
      <c r="F14" s="292"/>
      <c r="G14" s="292" t="s">
        <v>16</v>
      </c>
      <c r="H14" s="293"/>
      <c r="I14" s="293"/>
      <c r="J14" s="293"/>
      <c r="K14" s="293"/>
      <c r="L14" s="154"/>
      <c r="M14" s="252"/>
      <c r="N14" s="815"/>
      <c r="O14" s="1203"/>
      <c r="P14" s="1185"/>
      <c r="Q14" s="1185"/>
      <c r="R14" s="1185"/>
      <c r="S14" s="1185"/>
      <c r="T14" s="816"/>
      <c r="U14" s="252"/>
    </row>
    <row r="15" spans="1:21" s="278" customFormat="1" ht="49.95" customHeight="1" x14ac:dyDescent="0.2">
      <c r="A15" s="275"/>
      <c r="B15" s="276"/>
      <c r="C15" s="1216" t="str">
        <f>IF(VLOOKUP(CONCATENATE($C$3,"-",$C14,"-0"),Languages!$A:$D,1,TRUE)=CONCATENATE($C$3,"-",$C14,"-0"),VLOOKUP(CONCATENATE($C$3,"-",$C14,"-0"),Languages!$A:$D,Summary!$C$7,TRUE),NA())</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v>
      </c>
      <c r="D15" s="1216"/>
      <c r="E15" s="1216"/>
      <c r="F15" s="1216"/>
      <c r="G15" s="1216"/>
      <c r="H15" s="1216"/>
      <c r="I15" s="1216"/>
      <c r="J15" s="1216"/>
      <c r="K15" s="1216"/>
      <c r="L15" s="154"/>
      <c r="M15" s="252"/>
      <c r="N15" s="815"/>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16"/>
      <c r="U15" s="252"/>
    </row>
    <row r="16" spans="1:21" s="177" customFormat="1" ht="30" customHeight="1" x14ac:dyDescent="0.25">
      <c r="A16" s="166"/>
      <c r="B16" s="269"/>
      <c r="C16" s="170">
        <v>3</v>
      </c>
      <c r="D16" s="170" t="str">
        <f>IF(VLOOKUP(CONCATENATE($C$3,"-",C16),Languages!$A:$D,1,TRUE)=CONCATENATE($C$3,"-",C16),VLOOKUP(CONCATENATE($C$3,"-",C16),Languages!$A:$D,Summary!$C$7,TRUE),NA())</f>
        <v>Tapahtumiin ja häiriöihin reagoiminen</v>
      </c>
      <c r="E16" s="170"/>
      <c r="F16" s="292"/>
      <c r="G16" s="292" t="s">
        <v>16</v>
      </c>
      <c r="H16" s="293"/>
      <c r="I16" s="293"/>
      <c r="J16" s="293"/>
      <c r="K16" s="293"/>
      <c r="L16" s="154"/>
      <c r="M16" s="252"/>
      <c r="N16" s="815"/>
      <c r="O16" s="1203"/>
      <c r="P16" s="1185"/>
      <c r="Q16" s="1185"/>
      <c r="R16" s="1185"/>
      <c r="S16" s="1185"/>
      <c r="T16" s="816"/>
      <c r="U16" s="252"/>
    </row>
    <row r="17" spans="1:21" s="296" customFormat="1" ht="46.05" customHeight="1" x14ac:dyDescent="0.2">
      <c r="A17" s="305"/>
      <c r="B17" s="1115"/>
      <c r="C17" s="1216" t="str">
        <f>IF(VLOOKUP(CONCATENATE($C$3,"-",$C16,"-0"),Languages!$A:$D,1,TRUE)=CONCATENATE($C$3,"-",$C16,"-0"),VLOOKUP(CONCATENATE($C$3,"-",$C16,"-0"),Languages!$A:$D,Summary!$C$7,TRUE),NA())</f>
        <v>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v>
      </c>
      <c r="D17" s="1216"/>
      <c r="E17" s="1216"/>
      <c r="F17" s="1216"/>
      <c r="G17" s="1216"/>
      <c r="H17" s="1216"/>
      <c r="I17" s="1216"/>
      <c r="J17" s="1216"/>
      <c r="K17" s="1216"/>
      <c r="L17" s="154"/>
      <c r="M17" s="252"/>
      <c r="N17" s="815"/>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16"/>
      <c r="U17" s="252"/>
    </row>
    <row r="18" spans="1:21" s="177" customFormat="1" ht="30" customHeight="1" x14ac:dyDescent="0.25">
      <c r="A18" s="166">
        <v>1</v>
      </c>
      <c r="B18" s="269"/>
      <c r="C18" s="170">
        <v>4</v>
      </c>
      <c r="D18" s="170" t="str">
        <f>IF(VLOOKUP(CONCATENATE($C$3,"-",C18),Languages!$A:$D,1,TRUE)=CONCATENATE($C$3,"-",C18),VLOOKUP(CONCATENATE($C$3,"-",C18),Languages!$A:$D,Summary!$C$7,TRUE),NA())</f>
        <v>Kyberturvallisuus osana toiminnan jatkuvuutta</v>
      </c>
      <c r="E18" s="170"/>
      <c r="F18" s="292"/>
      <c r="G18" s="292" t="s">
        <v>16</v>
      </c>
      <c r="H18" s="293"/>
      <c r="I18" s="293"/>
      <c r="J18" s="293"/>
      <c r="K18" s="293"/>
      <c r="L18" s="154"/>
      <c r="M18" s="252"/>
      <c r="N18" s="815"/>
      <c r="O18" s="1203"/>
      <c r="P18" s="1185"/>
      <c r="Q18" s="1185"/>
      <c r="R18" s="1185"/>
      <c r="S18" s="1185"/>
      <c r="T18" s="816"/>
      <c r="U18" s="252"/>
    </row>
    <row r="19" spans="1:21" s="296" customFormat="1" ht="44.55" customHeight="1" x14ac:dyDescent="0.25">
      <c r="A19" s="166">
        <v>1</v>
      </c>
      <c r="B19" s="1115"/>
      <c r="C19" s="1216" t="str">
        <f>IF(VLOOKUP(CONCATENATE($C$3,"-",$C18,"-0"),Languages!$A:$D,1,TRUE)=CONCATENATE($C$3,"-",$C18,"-0"),VLOOKUP(CONCATENATE($C$3,"-",$C18,"-0"),Languages!$A:$D,Summary!$C$7,TRUE),NA())</f>
        <v>Jatkuvuudenhallinnan tavoitteena on varmistaa että oleellista toimintaa pystytään jatkamaan myös häiriötilanteessa, kuten vakavat kyberturvallisuushäiriön tai onnettomuuden tapahduttua.  Jotta jatkuvuussuunnitelmat kattavat todennäköiset kyberhäiriötilanteet,    tulee huomioida tunnistetut riskit ja organisaatioon kohdistuvat kyberuhat. Jatkuvuussuunnitelmien testauksen tulisi sisältää kyberhäiriöskenaarioita, jotta varmistutaan, että suunnitelmat toimivat tarkoituksenmukaisesti myös tositilanteessa.</v>
      </c>
      <c r="D19" s="1216"/>
      <c r="E19" s="1216"/>
      <c r="F19" s="1216"/>
      <c r="G19" s="1216"/>
      <c r="H19" s="1216"/>
      <c r="I19" s="1216"/>
      <c r="J19" s="1216"/>
      <c r="K19" s="1216"/>
      <c r="L19" s="154"/>
      <c r="M19" s="252"/>
      <c r="N19" s="815"/>
      <c r="O19" s="1202" t="str">
        <f>IF(VLOOKUP(CONCATENATE($C$3,"-",$C18),Import!$C$11:$H$485,2,FALSE)=0,"",VLOOKUP(CONCATENATE($C$3,"-",$C18),Import!$C$11:$H$485,2,FALSE))</f>
        <v/>
      </c>
      <c r="P19" s="1184" t="str">
        <f>IF(VLOOKUP(CONCATENATE($C$3,"-",$C18),Import!$C$11:$H$485,3,FALSE)=0,"",VLOOKUP(CONCATENATE($C$3,"-",$C18),Import!$C$11:$H$485,3,FALSE))</f>
        <v/>
      </c>
      <c r="Q19" s="1184" t="str">
        <f>IF(VLOOKUP(CONCATENATE($C$3,"-",$C18),Import!$C$11:$H$485,4,FALSE)=0,"",VLOOKUP(CONCATENATE($C$3,"-",$C18),Import!$C$11:$H$485,4,FALSE))</f>
        <v/>
      </c>
      <c r="R19" s="1184" t="str">
        <f>IF(VLOOKUP(CONCATENATE($C$3,"-",$C18),Import!$C$11:$H$485,5,FALSE)=0,"",VLOOKUP(CONCATENATE($C$3,"-",$C18),Import!$C$11:$H$485,5,FALSE))</f>
        <v/>
      </c>
      <c r="S19" s="1184" t="str">
        <f>IF(VLOOKUP(CONCATENATE($C$3,"-",$C18),Import!$C$11:$H$485,6,FALSE)=0,"",VLOOKUP(CONCATENATE($C$3,"-",$C18),Import!$C$11:$H$485,6,FALSE))</f>
        <v/>
      </c>
      <c r="T19" s="816"/>
      <c r="U19" s="252"/>
    </row>
    <row r="20" spans="1:21" s="177" customFormat="1" ht="30" customHeight="1" x14ac:dyDescent="0.25">
      <c r="A20" s="166"/>
      <c r="B20" s="269"/>
      <c r="C20" s="170">
        <v>5</v>
      </c>
      <c r="D20" s="170" t="str">
        <f>IF(VLOOKUP(CONCATENATE($C$3,"-",C20),Languages!$A:$D,1,TRUE)=CONCATENATE($C$3,"-",C20),VLOOKUP(CONCATENATE($C$3,"-",C20),Languages!$A:$D,Summary!$C$7,TRUE),NA())</f>
        <v>Yleisiä hallintatoimia</v>
      </c>
      <c r="E20" s="170"/>
      <c r="F20" s="292"/>
      <c r="G20" s="292" t="s">
        <v>16</v>
      </c>
      <c r="H20" s="293"/>
      <c r="I20" s="293"/>
      <c r="J20" s="293"/>
      <c r="K20" s="293"/>
      <c r="L20" s="154"/>
      <c r="M20" s="252"/>
      <c r="N20" s="815"/>
      <c r="O20" s="1203"/>
      <c r="P20" s="1185"/>
      <c r="Q20" s="1185"/>
      <c r="R20" s="1185"/>
      <c r="S20" s="1185"/>
      <c r="T20" s="816"/>
      <c r="U20" s="252"/>
    </row>
    <row r="21" spans="1:21" s="278" customFormat="1" ht="48.6" customHeight="1" x14ac:dyDescent="0.2">
      <c r="A21" s="305"/>
      <c r="B21" s="306"/>
      <c r="C21" s="1216"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16"/>
      <c r="E21" s="1216"/>
      <c r="F21" s="1216"/>
      <c r="G21" s="1216"/>
      <c r="H21" s="1216"/>
      <c r="I21" s="1216"/>
      <c r="J21" s="1216"/>
      <c r="K21" s="1216"/>
      <c r="L21" s="154"/>
      <c r="M21" s="252"/>
      <c r="N21" s="815"/>
      <c r="O21" s="1202" t="str">
        <f>IF(VLOOKUP(CONCATENATE($C$3,"-",$C20),Import!$C$11:$H$485,2,FALSE)=0,"",VLOOKUP(CONCATENATE($C$3,"-",$C20),Import!$C$11:$H$485,2,FALSE))</f>
        <v/>
      </c>
      <c r="P21" s="1184" t="str">
        <f>IF(VLOOKUP(CONCATENATE($C$3,"-",$C20),Import!$C$11:$H$485,3,FALSE)=0,"",VLOOKUP(CONCATENATE($C$3,"-",$C20),Import!$C$11:$H$485,3,FALSE))</f>
        <v/>
      </c>
      <c r="Q21" s="1184" t="str">
        <f>IF(VLOOKUP(CONCATENATE($C$3,"-",$C20),Import!$C$11:$H$485,4,FALSE)=0,"",VLOOKUP(CONCATENATE($C$3,"-",$C20),Import!$C$11:$H$485,4,FALSE))</f>
        <v/>
      </c>
      <c r="R21" s="1184" t="str">
        <f>IF(VLOOKUP(CONCATENATE($C$3,"-",$C20),Import!$C$11:$H$485,5,FALSE)=0,"",VLOOKUP(CONCATENATE($C$3,"-",$C20),Import!$C$11:$H$485,5,FALSE))</f>
        <v/>
      </c>
      <c r="S21" s="1184" t="str">
        <f>IF(VLOOKUP(CONCATENATE($C$3,"-",$C20),Import!$C$11:$H$485,6,FALSE)=0,"",VLOOKUP(CONCATENATE($C$3,"-",$C20),Import!$C$11:$H$485,6,FALSE))</f>
        <v/>
      </c>
      <c r="T21" s="816"/>
      <c r="U21" s="252"/>
    </row>
    <row r="22" spans="1:21" s="278" customFormat="1" ht="18" customHeight="1" x14ac:dyDescent="0.2">
      <c r="A22" s="305"/>
      <c r="B22" s="306"/>
      <c r="C22" s="1116"/>
      <c r="D22" s="1116"/>
      <c r="E22" s="1116"/>
      <c r="F22" s="1116"/>
      <c r="G22" s="1116"/>
      <c r="H22" s="1116"/>
      <c r="I22" s="1116"/>
      <c r="J22" s="1116"/>
      <c r="K22" s="1116"/>
      <c r="L22" s="154"/>
      <c r="M22" s="252"/>
      <c r="N22" s="1131"/>
      <c r="O22" s="1203"/>
      <c r="P22" s="1185"/>
      <c r="Q22" s="1185"/>
      <c r="R22" s="1185"/>
      <c r="S22" s="1185"/>
      <c r="T22" s="1131"/>
      <c r="U22" s="252"/>
    </row>
    <row r="23" spans="1:21" s="278" customFormat="1" ht="18" customHeight="1" x14ac:dyDescent="0.2">
      <c r="A23" s="305"/>
      <c r="B23" s="1121"/>
      <c r="C23" s="1122"/>
      <c r="D23" s="1122"/>
      <c r="E23" s="1122"/>
      <c r="F23" s="1122"/>
      <c r="G23" s="1122"/>
      <c r="H23" s="1122"/>
      <c r="I23" s="1122"/>
      <c r="J23" s="1122"/>
      <c r="K23" s="1122"/>
      <c r="L23" s="1123"/>
      <c r="M23" s="252"/>
      <c r="N23" s="817"/>
      <c r="O23" s="1114"/>
      <c r="P23" s="1114"/>
      <c r="Q23" s="1114"/>
      <c r="R23" s="1114"/>
      <c r="S23" s="1114"/>
      <c r="T23" s="818"/>
      <c r="U23" s="252"/>
    </row>
    <row r="24" spans="1:21" s="278" customFormat="1" ht="18" customHeight="1" x14ac:dyDescent="0.25">
      <c r="A24" s="305"/>
      <c r="B24" s="655"/>
      <c r="C24" s="655"/>
      <c r="D24" s="655"/>
      <c r="E24" s="655"/>
      <c r="F24" s="655"/>
      <c r="G24" s="655"/>
      <c r="H24" s="655"/>
      <c r="I24" s="655"/>
      <c r="J24" s="655"/>
      <c r="K24" s="655"/>
      <c r="L24" s="656"/>
      <c r="M24" s="135"/>
      <c r="N24" s="135"/>
      <c r="O24" s="826"/>
      <c r="P24" s="250"/>
      <c r="Q24" s="771"/>
      <c r="R24" s="250"/>
      <c r="S24" s="250"/>
      <c r="T24" s="135"/>
      <c r="U24" s="135"/>
    </row>
    <row r="25" spans="1:21" s="278" customFormat="1" ht="19.95" customHeight="1" x14ac:dyDescent="0.2">
      <c r="A25" s="305"/>
      <c r="B25" s="649"/>
      <c r="C25" s="647"/>
      <c r="D25" s="647"/>
      <c r="E25" s="647"/>
      <c r="F25" s="647"/>
      <c r="G25" s="647"/>
      <c r="H25" s="647"/>
      <c r="I25" s="647"/>
      <c r="J25" s="647"/>
      <c r="K25" s="647"/>
      <c r="L25" s="648"/>
      <c r="M25" s="252"/>
      <c r="N25" s="464" t="str">
        <f>IF(VLOOKUP("KM116",Languages!$A:$D,1,TRUE)="KM116",VLOOKUP("KM116",Languages!$A:$D,Summary!$C$7,TRUE),NA())</f>
        <v>EDELLINEN ARVIOINTI</v>
      </c>
      <c r="O25" s="430"/>
      <c r="P25" s="255"/>
      <c r="Q25" s="772" t="str">
        <f>IF(VLOOKUP("KM110",Languages!$A:$D,1,TRUE)="KM110",VLOOKUP("KM110",Languages!$A:$D,Summary!$C$7,TRUE),NA())</f>
        <v>Päivämäärä</v>
      </c>
      <c r="R25" s="255"/>
      <c r="S25" s="255"/>
      <c r="T25" s="147"/>
      <c r="U25" s="252"/>
    </row>
    <row r="26" spans="1:21" s="177" customFormat="1" ht="19.95" customHeight="1" x14ac:dyDescent="0.25">
      <c r="A26" s="166"/>
      <c r="B26" s="269"/>
      <c r="C26" s="170">
        <v>1</v>
      </c>
      <c r="D26" s="170" t="str">
        <f>IF(VLOOKUP(CONCATENATE($C$3,"-",C26),Languages!$A:$D,1,TRUE)=CONCATENATE($C$3,"-",C26),VLOOKUP(CONCATENATE($C$3,"-",C26),Languages!$A:$D,Summary!$C$7,TRUE),NA())</f>
        <v>Tapahtumien havainnointi</v>
      </c>
      <c r="E26" s="170"/>
      <c r="F26" s="271"/>
      <c r="G26" s="271"/>
      <c r="H26" s="272"/>
      <c r="I26" s="272"/>
      <c r="J26" s="272"/>
      <c r="K26" s="272"/>
      <c r="L26" s="154"/>
      <c r="M26" s="305"/>
      <c r="N26" s="306"/>
      <c r="O26" s="431"/>
      <c r="P26" s="426"/>
      <c r="Q26" s="697"/>
      <c r="R26" s="770"/>
      <c r="S26" s="770"/>
      <c r="T26" s="277"/>
      <c r="U26" s="305"/>
    </row>
    <row r="27" spans="1:21" s="285" customFormat="1" ht="19.95" customHeight="1" x14ac:dyDescent="0.2">
      <c r="A27" s="304"/>
      <c r="B27" s="279"/>
      <c r="C27" s="280" t="str">
        <f>IF(VLOOKUP("GEN-LEVEL",Languages!$A:$D,1,TRUE)="GEN-LEVEL",VLOOKUP("GEN-LEVEL",Languages!$A:$D,Summary!$C$7,TRUE),NA())</f>
        <v>Taso</v>
      </c>
      <c r="D27" s="280"/>
      <c r="E27" s="281" t="str">
        <f>IF(VLOOKUP("GEN-PRACTICE",Languages!$A:$D,1,TRUE)="GEN-PRACTICE",VLOOKUP("GEN-PRACTICE",Languages!$A:$D,Summary!$C$7,TRUE),NA())</f>
        <v>Käytäntö</v>
      </c>
      <c r="F27" s="282"/>
      <c r="G27" s="904" t="str">
        <f>IF(VLOOKUP("GEN-ANSWER",Languages!$A:$D,1,TRUE)="GEN-ANSWER",VLOOKUP("GEN-ANSWER",Languages!$A:$D,Summary!$C$7,TRUE),NA())</f>
        <v>Vastaus</v>
      </c>
      <c r="H27" s="905" t="str">
        <f>IF(VLOOKUP("KM112",Languages!$A:$D,1,TRUE)="KM112",VLOOKUP("KM112",Languages!$A:$D,Summary!$C$7,TRUE),NA())</f>
        <v>Kommentit</v>
      </c>
      <c r="I27" s="905" t="str">
        <f>IF(VLOOKUP("KM113",Languages!$A:$D,1,TRUE)="KM113",VLOOKUP("KM113",Languages!$A:$D,Summary!$C$7,TRUE),NA())</f>
        <v>Sisäinen viittaus</v>
      </c>
      <c r="J27" s="905" t="str">
        <f>IF(VLOOKUP("KM114",Languages!$A:$D,1,TRUE)="KM114",VLOOKUP("KM114",Languages!$A:$D,Summary!$C$7,TRUE),NA())</f>
        <v>Ulkoinen viittaus</v>
      </c>
      <c r="K27" s="905" t="str">
        <f>IF(VLOOKUP("KM115",Languages!$A:$D,1,TRUE)="KM115",VLOOKUP("KM115",Languages!$A:$D,Summary!$C$7,TRUE),NA())</f>
        <v>Kehityskohde</v>
      </c>
      <c r="L27" s="283"/>
      <c r="M27" s="284"/>
      <c r="N27" s="279"/>
      <c r="O27" s="463" t="str">
        <f>IF(VLOOKUP("GEN-ANSWER",Languages!$A:$D,1,TRUE)="GEN-ANSWER",VLOOKUP("GEN-ANSWER",Languages!$A:$D,Summary!$C$7,TRUE),NA())</f>
        <v>Vastaus</v>
      </c>
      <c r="P27" s="463" t="str">
        <f>IF(VLOOKUP("KM112",Languages!$A:$D,1,TRUE)="KM112",VLOOKUP("KM112",Languages!$A:$D,Summary!$C$7,TRUE),NA())</f>
        <v>Kommentit</v>
      </c>
      <c r="Q27" s="463" t="str">
        <f>IF(VLOOKUP("KM113",Languages!$A:$D,1,TRUE)="KM113",VLOOKUP("KM113",Languages!$A:$D,Summary!$C$7,TRUE),NA())</f>
        <v>Sisäinen viittaus</v>
      </c>
      <c r="R27" s="463" t="str">
        <f>IF(VLOOKUP("KM114",Languages!$A:$D,1,TRUE)="KM114",VLOOKUP("KM114",Languages!$A:$D,Summary!$C$7,TRUE),NA())</f>
        <v>Ulkoinen viittaus</v>
      </c>
      <c r="S27" s="463" t="str">
        <f>IF(VLOOKUP("KM115",Languages!$A:$D,1,TRUE)="KM115",VLOOKUP("KM115",Languages!$A:$D,Summary!$C$7,TRUE),NA())</f>
        <v>Kehityskohde</v>
      </c>
      <c r="T27" s="283"/>
      <c r="U27" s="284"/>
    </row>
    <row r="28" spans="1:21" s="289" customFormat="1" ht="45" customHeight="1" x14ac:dyDescent="0.2">
      <c r="A28" s="275"/>
      <c r="B28" s="1190"/>
      <c r="C28" s="521">
        <v>1</v>
      </c>
      <c r="D28" s="390" t="s">
        <v>5</v>
      </c>
      <c r="E28" s="466" t="str">
        <f>IF(VLOOKUP(CONCATENATE($C$3,"-",$D28),Languages!$A:$D,1,TRUE)=CONCATENATE($C$3,"-",$D28),VLOOKUP(CONCATENATE($C$3,"-",$D28),Languages!$A:$D,Summary!$C$7,TRUE),NA())</f>
        <v>Havaitut kybertapahtumat raportoidaan ennalta määritellyille henkilöille tai roolien haltijoille ja ne documentoidaan (ainakin tapauskohtaisesti). Tasolla 1 tämän ei tarvitse olla systemaattista ja säännöllistä.</v>
      </c>
      <c r="F28" s="391">
        <f t="shared" ref="F28:F33" si="0">IFERROR(INT(LEFT($G28,1)),0)</f>
        <v>0</v>
      </c>
      <c r="G28" s="456" t="s">
        <v>2542</v>
      </c>
      <c r="H28" s="486"/>
      <c r="I28" s="486"/>
      <c r="J28" s="486"/>
      <c r="K28" s="487"/>
      <c r="L28" s="154"/>
      <c r="M28" s="252"/>
      <c r="N28" s="149"/>
      <c r="O28" s="886" t="str">
        <f>VLOOKUP(VLOOKUP($C$3&amp;"-"&amp;$D28,Import!$C:$D,2,FALSE),Parameters!$C$18:$F$22,Summary!$C$7,FALSE)</f>
        <v xml:space="preserve">0 - Vastaus puuttuu </v>
      </c>
      <c r="P28" s="911" t="str">
        <f>IF(VLOOKUP($C$3&amp;"-"&amp;$D28,Import!$C:$H,3,FALSE)=0,"",VLOOKUP($C$3&amp;"-"&amp;$D28,Import!$C:$H,3,FALSE))</f>
        <v/>
      </c>
      <c r="Q28" s="911" t="str">
        <f>IF(VLOOKUP($C$3&amp;"-"&amp;$D28,Import!$C:$H,4,FALSE)=0,"",VLOOKUP($C$3&amp;"-"&amp;$D28,Import!$C:$H,4,FALSE))</f>
        <v/>
      </c>
      <c r="R28" s="911" t="str">
        <f>IF(VLOOKUP($C$3&amp;"-"&amp;$D28,Import!$C:$H,5,FALSE)=0,"",VLOOKUP($C$3&amp;"-"&amp;$D28,Import!$C:$H,5,FALSE))</f>
        <v/>
      </c>
      <c r="S28" s="912" t="str">
        <f>IF(VLOOKUP($C$3&amp;"-"&amp;$D28,Import!$C:$H,6,FALSE)=0,"",VLOOKUP($C$3&amp;"-"&amp;$D28,Import!$C:$H,6,FALSE))</f>
        <v/>
      </c>
      <c r="T28" s="154"/>
      <c r="U28" s="252"/>
    </row>
    <row r="29" spans="1:21" s="289" customFormat="1" ht="60.6" customHeight="1" x14ac:dyDescent="0.2">
      <c r="A29" s="275"/>
      <c r="B29" s="1190"/>
      <c r="C29" s="1217">
        <v>2</v>
      </c>
      <c r="D29" s="387" t="s">
        <v>7</v>
      </c>
      <c r="E29" s="467" t="str">
        <f>IF(VLOOKUP(CONCATENATE($C$3,"-",$D29),Languages!$A:$D,1,TRUE)=CONCATENATE($C$3,"-",$D29),VLOOKUP(CONCATENATE($C$3,"-",$D29),Languages!$A:$D,Summary!$C$7,TRUE),NA())</f>
        <v>Kybertapahtumista ja niiden havaitsemisesta on laadittu kriteeristö (johon kuuluu esimerkiksi määritelmä tilanteista, jotka täyttävät kybertapahtuman määritelmän tai määritelmä siitä, missä kybertapahtumia voidaan havaita).</v>
      </c>
      <c r="F29" s="386">
        <f t="shared" si="0"/>
        <v>0</v>
      </c>
      <c r="G29" s="445" t="s">
        <v>2542</v>
      </c>
      <c r="H29" s="446"/>
      <c r="I29" s="446"/>
      <c r="J29" s="446"/>
      <c r="K29" s="447"/>
      <c r="L29" s="154"/>
      <c r="M29" s="252"/>
      <c r="N29" s="149"/>
      <c r="O29" s="889" t="str">
        <f>VLOOKUP(VLOOKUP($C$3&amp;"-"&amp;$D29,Import!$C:$D,2,FALSE),Parameters!$C$18:$F$22,Summary!$C$7,FALSE)</f>
        <v xml:space="preserve">0 - Vastaus puuttuu </v>
      </c>
      <c r="P29" s="931" t="str">
        <f>IF(VLOOKUP($C$3&amp;"-"&amp;$D29,Import!$C:$H,3,FALSE)=0,"",VLOOKUP($C$3&amp;"-"&amp;$D29,Import!$C:$H,3,FALSE))</f>
        <v/>
      </c>
      <c r="Q29" s="931" t="str">
        <f>IF(VLOOKUP($C$3&amp;"-"&amp;$D29,Import!$C:$H,4,FALSE)=0,"",VLOOKUP($C$3&amp;"-"&amp;$D29,Import!$C:$H,4,FALSE))</f>
        <v/>
      </c>
      <c r="R29" s="931" t="str">
        <f>IF(VLOOKUP($C$3&amp;"-"&amp;$D29,Import!$C:$H,5,FALSE)=0,"",VLOOKUP($C$3&amp;"-"&amp;$D29,Import!$C:$H,5,FALSE))</f>
        <v/>
      </c>
      <c r="S29" s="932" t="str">
        <f>IF(VLOOKUP($C$3&amp;"-"&amp;$D29,Import!$C:$H,6,FALSE)=0,"",VLOOKUP($C$3&amp;"-"&amp;$D29,Import!$C:$H,6,FALSE))</f>
        <v/>
      </c>
      <c r="T29" s="154"/>
      <c r="U29" s="252"/>
    </row>
    <row r="30" spans="1:21" s="289" customFormat="1" ht="34.950000000000003" customHeight="1" x14ac:dyDescent="0.2">
      <c r="A30" s="275"/>
      <c r="B30" s="1190"/>
      <c r="C30" s="1219"/>
      <c r="D30" s="407" t="s">
        <v>8</v>
      </c>
      <c r="E30" s="474" t="str">
        <f>IF(VLOOKUP(CONCATENATE($C$3,"-",$D30),Languages!$A:$D,1,TRUE)=CONCATENATE($C$3,"-",$D30),VLOOKUP(CONCATENATE($C$3,"-",$D30),Languages!$A:$D,Summary!$C$7,TRUE),NA())</f>
        <v>Kybertapahtumat dokumentoidaan määritellyn kriteeristön mukaisesti.</v>
      </c>
      <c r="F30" s="393">
        <f t="shared" si="0"/>
        <v>0</v>
      </c>
      <c r="G30" s="449" t="s">
        <v>2542</v>
      </c>
      <c r="H30" s="441"/>
      <c r="I30" s="441"/>
      <c r="J30" s="441"/>
      <c r="K30" s="450"/>
      <c r="L30" s="154"/>
      <c r="M30" s="252"/>
      <c r="N30" s="149"/>
      <c r="O30" s="897" t="str">
        <f>VLOOKUP(VLOOKUP($C$3&amp;"-"&amp;$D30,Import!$C:$D,2,FALSE),Parameters!$C$18:$F$22,Summary!$C$7,FALSE)</f>
        <v xml:space="preserve">0 - Vastaus puuttuu </v>
      </c>
      <c r="P30" s="933" t="str">
        <f>IF(VLOOKUP($C$3&amp;"-"&amp;$D30,Import!$C:$H,3,FALSE)=0,"",VLOOKUP($C$3&amp;"-"&amp;$D30,Import!$C:$H,3,FALSE))</f>
        <v/>
      </c>
      <c r="Q30" s="933" t="str">
        <f>IF(VLOOKUP($C$3&amp;"-"&amp;$D30,Import!$C:$H,4,FALSE)=0,"",VLOOKUP($C$3&amp;"-"&amp;$D30,Import!$C:$H,4,FALSE))</f>
        <v/>
      </c>
      <c r="R30" s="933" t="str">
        <f>IF(VLOOKUP($C$3&amp;"-"&amp;$D30,Import!$C:$H,5,FALSE)=0,"",VLOOKUP($C$3&amp;"-"&amp;$D30,Import!$C:$H,5,FALSE))</f>
        <v/>
      </c>
      <c r="S30" s="934" t="str">
        <f>IF(VLOOKUP($C$3&amp;"-"&amp;$D30,Import!$C:$H,6,FALSE)=0,"",VLOOKUP($C$3&amp;"-"&amp;$D30,Import!$C:$H,6,FALSE))</f>
        <v/>
      </c>
      <c r="T30" s="154"/>
      <c r="U30" s="252"/>
    </row>
    <row r="31" spans="1:21" s="289" customFormat="1" ht="57" customHeight="1" x14ac:dyDescent="0.2">
      <c r="A31" s="275"/>
      <c r="B31" s="1190"/>
      <c r="C31" s="1220">
        <v>3</v>
      </c>
      <c r="D31" s="387" t="s">
        <v>9</v>
      </c>
      <c r="E31" s="467" t="str">
        <f>IF(VLOOKUP(CONCATENATE($C$3,"-",$D31),Languages!$A:$D,1,TRUE)=CONCATENATE($C$3,"-",$D31),VLOOKUP(CONCATENATE($C$3,"-",$D31),Languages!$A:$D,Summary!$C$7,TRUE),NA())</f>
        <v>Tapahtumien tietoja verrataan keskenään, jotta niistä tunnistettaisiin mahdollisia säännönmukaisuuksia, trendejä tai muita yhteisiä piirteitä, joilla voitaisiin tukea kyberhäiriöiden analysointityötä.</v>
      </c>
      <c r="F31" s="386">
        <f t="shared" si="0"/>
        <v>0</v>
      </c>
      <c r="G31" s="445" t="s">
        <v>2542</v>
      </c>
      <c r="H31" s="446"/>
      <c r="I31" s="446"/>
      <c r="J31" s="446"/>
      <c r="K31" s="447"/>
      <c r="L31" s="154"/>
      <c r="M31" s="252"/>
      <c r="N31" s="149"/>
      <c r="O31" s="889" t="str">
        <f>VLOOKUP(VLOOKUP($C$3&amp;"-"&amp;$D31,Import!$C:$D,2,FALSE),Parameters!$C$18:$F$22,Summary!$C$7,FALSE)</f>
        <v xml:space="preserve">0 - Vastaus puuttuu </v>
      </c>
      <c r="P31" s="931" t="str">
        <f>IF(VLOOKUP($C$3&amp;"-"&amp;$D31,Import!$C:$H,3,FALSE)=0,"",VLOOKUP($C$3&amp;"-"&amp;$D31,Import!$C:$H,3,FALSE))</f>
        <v/>
      </c>
      <c r="Q31" s="931" t="str">
        <f>IF(VLOOKUP($C$3&amp;"-"&amp;$D31,Import!$C:$H,4,FALSE)=0,"",VLOOKUP($C$3&amp;"-"&amp;$D31,Import!$C:$H,4,FALSE))</f>
        <v/>
      </c>
      <c r="R31" s="931" t="str">
        <f>IF(VLOOKUP($C$3&amp;"-"&amp;$D31,Import!$C:$H,5,FALSE)=0,"",VLOOKUP($C$3&amp;"-"&amp;$D31,Import!$C:$H,5,FALSE))</f>
        <v/>
      </c>
      <c r="S31" s="932" t="str">
        <f>IF(VLOOKUP($C$3&amp;"-"&amp;$D31,Import!$C:$H,6,FALSE)=0,"",VLOOKUP($C$3&amp;"-"&amp;$D31,Import!$C:$H,6,FALSE))</f>
        <v/>
      </c>
      <c r="T31" s="154"/>
      <c r="U31" s="252"/>
    </row>
    <row r="32" spans="1:21" s="289" customFormat="1" ht="43.2" customHeight="1" x14ac:dyDescent="0.2">
      <c r="A32" s="275"/>
      <c r="B32" s="1190"/>
      <c r="C32" s="1221"/>
      <c r="D32" s="286" t="s">
        <v>10</v>
      </c>
      <c r="E32" s="468" t="str">
        <f>IF(VLOOKUP(CONCATENATE($C$3,"-",$D32),Languages!$A:$D,1,TRUE)=CONCATENATE($C$3,"-",$D32),VLOOKUP(CONCATENATE($C$3,"-",$D32),Languages!$A:$D,Summary!$C$7,TRUE),NA())</f>
        <v>Kybertapahtumien havainnointitoimia mukautetaan perustuen tunnistettuihin riskeihin ja organisaation uhkaprofiiliin [kts. THREAT-2e].</v>
      </c>
      <c r="F32" s="287">
        <f t="shared" si="0"/>
        <v>0</v>
      </c>
      <c r="G32" s="307" t="s">
        <v>2542</v>
      </c>
      <c r="H32" s="440"/>
      <c r="I32" s="440"/>
      <c r="J32" s="440"/>
      <c r="K32" s="448"/>
      <c r="L32" s="154"/>
      <c r="M32" s="252"/>
      <c r="N32" s="149"/>
      <c r="O32" s="892" t="str">
        <f>VLOOKUP(VLOOKUP($C$3&amp;"-"&amp;$D32,Import!$C:$D,2,FALSE),Parameters!$C$18:$F$22,Summary!$C$7,FALSE)</f>
        <v xml:space="preserve">0 - Vastaus puuttuu </v>
      </c>
      <c r="P32" s="914" t="str">
        <f>IF(VLOOKUP($C$3&amp;"-"&amp;$D32,Import!$C:$H,3,FALSE)=0,"",VLOOKUP($C$3&amp;"-"&amp;$D32,Import!$C:$H,3,FALSE))</f>
        <v/>
      </c>
      <c r="Q32" s="914" t="str">
        <f>IF(VLOOKUP($C$3&amp;"-"&amp;$D32,Import!$C:$H,4,FALSE)=0,"",VLOOKUP($C$3&amp;"-"&amp;$D32,Import!$C:$H,4,FALSE))</f>
        <v/>
      </c>
      <c r="R32" s="914" t="str">
        <f>IF(VLOOKUP($C$3&amp;"-"&amp;$D32,Import!$C:$H,5,FALSE)=0,"",VLOOKUP($C$3&amp;"-"&amp;$D32,Import!$C:$H,5,FALSE))</f>
        <v/>
      </c>
      <c r="S32" s="915" t="str">
        <f>IF(VLOOKUP($C$3&amp;"-"&amp;$D32,Import!$C:$H,6,FALSE)=0,"",VLOOKUP($C$3&amp;"-"&amp;$D32,Import!$C:$H,6,FALSE))</f>
        <v/>
      </c>
      <c r="T32" s="154"/>
      <c r="U32" s="252"/>
    </row>
    <row r="33" spans="1:21" s="289" customFormat="1" ht="34.950000000000003" customHeight="1" x14ac:dyDescent="0.2">
      <c r="A33" s="275"/>
      <c r="B33" s="1190"/>
      <c r="C33" s="1222"/>
      <c r="D33" s="407" t="s">
        <v>11</v>
      </c>
      <c r="E33" s="472" t="str">
        <f>IF(VLOOKUP(CONCATENATE($C$3,"-",$D33),Languages!$A:$D,1,TRUE)=CONCATENATE($C$3,"-",$D33),VLOOKUP(CONCATENATE($C$3,"-",$D33),Languages!$A:$D,Summary!$C$7,TRUE),NA())</f>
        <v>Toiminnon tilannekuvaa seurataan siten, että se tukee mahdollisten kybertapahtumien havaitsemista.</v>
      </c>
      <c r="F33" s="393">
        <f t="shared" si="0"/>
        <v>0</v>
      </c>
      <c r="G33" s="449" t="s">
        <v>2542</v>
      </c>
      <c r="H33" s="441"/>
      <c r="I33" s="441"/>
      <c r="J33" s="441"/>
      <c r="K33" s="450"/>
      <c r="L33" s="154"/>
      <c r="M33" s="252"/>
      <c r="N33" s="149"/>
      <c r="O33" s="897" t="str">
        <f>VLOOKUP(VLOOKUP($C$3&amp;"-"&amp;$D33,Import!$C:$D,2,FALSE),Parameters!$C$18:$F$22,Summary!$C$7,FALSE)</f>
        <v xml:space="preserve">0 - Vastaus puuttuu </v>
      </c>
      <c r="P33" s="933" t="str">
        <f>IF(VLOOKUP($C$3&amp;"-"&amp;$D33,Import!$C:$H,3,FALSE)=0,"",VLOOKUP($C$3&amp;"-"&amp;$D33,Import!$C:$H,3,FALSE))</f>
        <v/>
      </c>
      <c r="Q33" s="933" t="str">
        <f>IF(VLOOKUP($C$3&amp;"-"&amp;$D33,Import!$C:$H,4,FALSE)=0,"",VLOOKUP($C$3&amp;"-"&amp;$D33,Import!$C:$H,4,FALSE))</f>
        <v/>
      </c>
      <c r="R33" s="933" t="str">
        <f>IF(VLOOKUP($C$3&amp;"-"&amp;$D33,Import!$C:$H,5,FALSE)=0,"",VLOOKUP($C$3&amp;"-"&amp;$D33,Import!$C:$H,5,FALSE))</f>
        <v/>
      </c>
      <c r="S33" s="934" t="str">
        <f>IF(VLOOKUP($C$3&amp;"-"&amp;$D33,Import!$C:$H,6,FALSE)=0,"",VLOOKUP($C$3&amp;"-"&amp;$D33,Import!$C:$H,6,FALSE))</f>
        <v/>
      </c>
      <c r="T33" s="154"/>
      <c r="U33" s="252"/>
    </row>
    <row r="34" spans="1:21" s="177" customFormat="1" ht="30" customHeight="1" x14ac:dyDescent="0.25">
      <c r="A34" s="166"/>
      <c r="B34" s="269"/>
      <c r="C34" s="170">
        <v>2</v>
      </c>
      <c r="D34" s="170" t="str">
        <f>IF(VLOOKUP(CONCATENATE($C$3,"-",C34),Languages!$A:$D,1,TRUE)=CONCATENATE($C$3,"-",C34),VLOOKUP(CONCATENATE($C$3,"-",C34),Languages!$A:$D,Summary!$C$7,TRUE),NA())</f>
        <v>Tapahtumien analysointi ja häiriötilanteiden määrittäminen</v>
      </c>
      <c r="E34" s="170"/>
      <c r="F34" s="292"/>
      <c r="G34" s="907"/>
      <c r="H34" s="929"/>
      <c r="I34" s="929"/>
      <c r="J34" s="929"/>
      <c r="K34" s="929"/>
      <c r="L34" s="154"/>
      <c r="M34" s="252"/>
      <c r="N34" s="149"/>
      <c r="O34" s="292"/>
      <c r="P34" s="293"/>
      <c r="Q34" s="293"/>
      <c r="R34" s="293"/>
      <c r="S34" s="293"/>
      <c r="T34" s="154"/>
      <c r="U34" s="252"/>
    </row>
    <row r="35" spans="1:21" s="285" customFormat="1" ht="19.95" customHeight="1" x14ac:dyDescent="0.2">
      <c r="A35" s="304"/>
      <c r="B35" s="279"/>
      <c r="C35" s="280" t="str">
        <f>IF(VLOOKUP("GEN-LEVEL",Languages!$A:$D,1,TRUE)="GEN-LEVEL",VLOOKUP("GEN-LEVEL",Languages!$A:$D,Summary!$C$7,TRUE),NA())</f>
        <v>Taso</v>
      </c>
      <c r="D35" s="280"/>
      <c r="E35" s="281" t="str">
        <f>IF(VLOOKUP("GEN-PRACTICE",Languages!$A:$D,1,TRUE)="GEN-PRACTICE",VLOOKUP("GEN-PRACTICE",Languages!$A:$D,Summary!$C$7,TRUE),NA())</f>
        <v>Käytäntö</v>
      </c>
      <c r="F35" s="282"/>
      <c r="G35" s="904" t="str">
        <f>IF(VLOOKUP("GEN-ANSWER",Languages!$A:$D,1,TRUE)="GEN-ANSWER",VLOOKUP("GEN-ANSWER",Languages!$A:$D,Summary!$C$7,TRUE),NA())</f>
        <v>Vastaus</v>
      </c>
      <c r="H35" s="905" t="str">
        <f>IF(VLOOKUP("KM112",Languages!$A:$D,1,TRUE)="KM112",VLOOKUP("KM112",Languages!$A:$D,Summary!$C$7,TRUE),NA())</f>
        <v>Kommentit</v>
      </c>
      <c r="I35" s="905" t="str">
        <f>IF(VLOOKUP("KM113",Languages!$A:$D,1,TRUE)="KM113",VLOOKUP("KM113",Languages!$A:$D,Summary!$C$7,TRUE),NA())</f>
        <v>Sisäinen viittaus</v>
      </c>
      <c r="J35" s="905" t="str">
        <f>IF(VLOOKUP("KM114",Languages!$A:$D,1,TRUE)="KM114",VLOOKUP("KM114",Languages!$A:$D,Summary!$C$7,TRUE),NA())</f>
        <v>Ulkoinen viittaus</v>
      </c>
      <c r="K35" s="905" t="str">
        <f>IF(VLOOKUP("KM115",Languages!$A:$D,1,TRUE)="KM115",VLOOKUP("KM115",Languages!$A:$D,Summary!$C$7,TRUE),NA())</f>
        <v>Kehityskohde</v>
      </c>
      <c r="L35" s="283"/>
      <c r="M35" s="284"/>
      <c r="N35" s="279"/>
      <c r="O35" s="463" t="str">
        <f>IF(VLOOKUP("GEN-ANSWER",Languages!$A:$D,1,TRUE)="GEN-ANSWER",VLOOKUP("GEN-ANSWER",Languages!$A:$D,Summary!$C$7,TRUE),NA())</f>
        <v>Vastaus</v>
      </c>
      <c r="P35" s="463" t="str">
        <f>IF(VLOOKUP("KM112",Languages!$A:$D,1,TRUE)="KM112",VLOOKUP("KM112",Languages!$A:$D,Summary!$C$7,TRUE),NA())</f>
        <v>Kommentit</v>
      </c>
      <c r="Q35" s="463" t="str">
        <f>IF(VLOOKUP("KM113",Languages!$A:$D,1,TRUE)="KM113",VLOOKUP("KM113",Languages!$A:$D,Summary!$C$7,TRUE),NA())</f>
        <v>Sisäinen viittaus</v>
      </c>
      <c r="R35" s="463" t="str">
        <f>IF(VLOOKUP("KM114",Languages!$A:$D,1,TRUE)="KM114",VLOOKUP("KM114",Languages!$A:$D,Summary!$C$7,TRUE),NA())</f>
        <v>Ulkoinen viittaus</v>
      </c>
      <c r="S35" s="463" t="str">
        <f>IF(VLOOKUP("KM115",Languages!$A:$D,1,TRUE)="KM115",VLOOKUP("KM115",Languages!$A:$D,Summary!$C$7,TRUE),NA())</f>
        <v>Kehityskohde</v>
      </c>
      <c r="T35" s="283"/>
      <c r="U35" s="284"/>
    </row>
    <row r="36" spans="1:21" s="296" customFormat="1" ht="34.950000000000003" customHeight="1" x14ac:dyDescent="0.2">
      <c r="A36" s="305"/>
      <c r="B36" s="1199"/>
      <c r="C36" s="1214">
        <v>1</v>
      </c>
      <c r="D36" s="395" t="s">
        <v>17</v>
      </c>
      <c r="E36" s="467" t="str">
        <f>IF(VLOOKUP(CONCATENATE($C$3,"-",$D36),Languages!$A:$D,1,TRUE)=CONCATENATE($C$3,"-",$D36),VLOOKUP(CONCATENATE($C$3,"-",$D36),Languages!$A:$D,Summary!$C$7,TRUE),NA())</f>
        <v>Kyberhäiriöiden määrittämisestä on laadittu kriteeristö. Tasolla 1 tämän ei tarvitse olla systemaattista ja säännöllistä.</v>
      </c>
      <c r="F36" s="386">
        <f t="shared" ref="F36:F44" si="1">IFERROR(INT(LEFT($G36,1)),0)</f>
        <v>0</v>
      </c>
      <c r="G36" s="445" t="s">
        <v>2542</v>
      </c>
      <c r="H36" s="446"/>
      <c r="I36" s="446"/>
      <c r="J36" s="446"/>
      <c r="K36" s="447"/>
      <c r="L36" s="154"/>
      <c r="M36" s="252"/>
      <c r="N36" s="149"/>
      <c r="O36" s="889" t="str">
        <f>VLOOKUP(VLOOKUP($C$3&amp;"-"&amp;$D36,Import!$C:$D,2,FALSE),Parameters!$C$18:$F$22,Summary!$C$7,FALSE)</f>
        <v xml:space="preserve">0 - Vastaus puuttuu </v>
      </c>
      <c r="P36" s="931" t="str">
        <f>IF(VLOOKUP($C$3&amp;"-"&amp;$D36,Import!$C:$H,3,FALSE)=0,"",VLOOKUP($C$3&amp;"-"&amp;$D36,Import!$C:$H,3,FALSE))</f>
        <v/>
      </c>
      <c r="Q36" s="931" t="str">
        <f>IF(VLOOKUP($C$3&amp;"-"&amp;$D36,Import!$C:$H,4,FALSE)=0,"",VLOOKUP($C$3&amp;"-"&amp;$D36,Import!$C:$H,4,FALSE))</f>
        <v/>
      </c>
      <c r="R36" s="931" t="str">
        <f>IF(VLOOKUP($C$3&amp;"-"&amp;$D36,Import!$C:$H,5,FALSE)=0,"",VLOOKUP($C$3&amp;"-"&amp;$D36,Import!$C:$H,5,FALSE))</f>
        <v/>
      </c>
      <c r="S36" s="932" t="str">
        <f>IF(VLOOKUP($C$3&amp;"-"&amp;$D36,Import!$C:$H,6,FALSE)=0,"",VLOOKUP($C$3&amp;"-"&amp;$D36,Import!$C:$H,6,FALSE))</f>
        <v/>
      </c>
      <c r="T36" s="154"/>
      <c r="U36" s="252"/>
    </row>
    <row r="37" spans="1:21" s="296" customFormat="1" ht="53.4" customHeight="1" x14ac:dyDescent="0.2">
      <c r="A37" s="305"/>
      <c r="B37" s="1199"/>
      <c r="C37" s="1215"/>
      <c r="D37" s="396" t="s">
        <v>18</v>
      </c>
      <c r="E37" s="474" t="str">
        <f>IF(VLOOKUP(CONCATENATE($C$3,"-",$D37),Languages!$A:$D,1,TRUE)=CONCATENATE($C$3,"-",$D37),VLOOKUP(CONCATENATE($C$3,"-",$D37),Languages!$A:$D,Summary!$C$7,TRUE),NA())</f>
        <v>Kybertapahtumat analysoidaan siten, että se tukee mahdollisten kyberhäiriöiden määrittämistä. Tasolla 1 tämän ei tarvitse olla systemaattista ja säännöllistä.</v>
      </c>
      <c r="F37" s="393">
        <f t="shared" si="1"/>
        <v>0</v>
      </c>
      <c r="G37" s="449" t="s">
        <v>2542</v>
      </c>
      <c r="H37" s="444"/>
      <c r="I37" s="444"/>
      <c r="J37" s="444"/>
      <c r="K37" s="453"/>
      <c r="L37" s="154"/>
      <c r="M37" s="252"/>
      <c r="N37" s="149"/>
      <c r="O37" s="897" t="str">
        <f>VLOOKUP(VLOOKUP($C$3&amp;"-"&amp;$D37,Import!$C:$D,2,FALSE),Parameters!$C$18:$F$22,Summary!$C$7,FALSE)</f>
        <v xml:space="preserve">0 - Vastaus puuttuu </v>
      </c>
      <c r="P37" s="923" t="str">
        <f>IF(VLOOKUP($C$3&amp;"-"&amp;$D37,Import!$C:$H,3,FALSE)=0,"",VLOOKUP($C$3&amp;"-"&amp;$D37,Import!$C:$H,3,FALSE))</f>
        <v/>
      </c>
      <c r="Q37" s="923" t="str">
        <f>IF(VLOOKUP($C$3&amp;"-"&amp;$D37,Import!$C:$H,4,FALSE)=0,"",VLOOKUP($C$3&amp;"-"&amp;$D37,Import!$C:$H,4,FALSE))</f>
        <v/>
      </c>
      <c r="R37" s="923" t="str">
        <f>IF(VLOOKUP($C$3&amp;"-"&amp;$D37,Import!$C:$H,5,FALSE)=0,"",VLOOKUP($C$3&amp;"-"&amp;$D37,Import!$C:$H,5,FALSE))</f>
        <v/>
      </c>
      <c r="S37" s="924" t="str">
        <f>IF(VLOOKUP($C$3&amp;"-"&amp;$D37,Import!$C:$H,6,FALSE)=0,"",VLOOKUP($C$3&amp;"-"&amp;$D37,Import!$C:$H,6,FALSE))</f>
        <v/>
      </c>
      <c r="T37" s="154"/>
      <c r="U37" s="252"/>
    </row>
    <row r="38" spans="1:21" s="296" customFormat="1" ht="34.950000000000003" customHeight="1" x14ac:dyDescent="0.2">
      <c r="A38" s="305"/>
      <c r="B38" s="1199"/>
      <c r="C38" s="1207">
        <v>2</v>
      </c>
      <c r="D38" s="395" t="s">
        <v>19</v>
      </c>
      <c r="E38" s="467" t="str">
        <f>IF(VLOOKUP(CONCATENATE($C$3,"-",$D38),Languages!$A:$D,1,TRUE)=CONCATENATE($C$3,"-",$D38),VLOOKUP(CONCATENATE($C$3,"-",$D38),Languages!$A:$D,Summary!$C$7,TRUE),NA())</f>
        <v>Kyberhäiriöiden määrittämisestä on laadittu virallinen kriteeristö, joka perustuu siihen, miten häiriöt voivat vaikuttaa toimintoon.</v>
      </c>
      <c r="F38" s="386">
        <f t="shared" si="1"/>
        <v>0</v>
      </c>
      <c r="G38" s="445" t="s">
        <v>2542</v>
      </c>
      <c r="H38" s="442"/>
      <c r="I38" s="442"/>
      <c r="J38" s="442"/>
      <c r="K38" s="451"/>
      <c r="L38" s="154"/>
      <c r="M38" s="252"/>
      <c r="N38" s="149"/>
      <c r="O38" s="889" t="str">
        <f>VLOOKUP(VLOOKUP($C$3&amp;"-"&amp;$D38,Import!$C:$D,2,FALSE),Parameters!$C$18:$F$22,Summary!$C$7,FALSE)</f>
        <v xml:space="preserve">0 - Vastaus puuttuu </v>
      </c>
      <c r="P38" s="921" t="str">
        <f>IF(VLOOKUP($C$3&amp;"-"&amp;$D38,Import!$C:$H,3,FALSE)=0,"",VLOOKUP($C$3&amp;"-"&amp;$D38,Import!$C:$H,3,FALSE))</f>
        <v/>
      </c>
      <c r="Q38" s="921" t="str">
        <f>IF(VLOOKUP($C$3&amp;"-"&amp;$D38,Import!$C:$H,4,FALSE)=0,"",VLOOKUP($C$3&amp;"-"&amp;$D38,Import!$C:$H,4,FALSE))</f>
        <v/>
      </c>
      <c r="R38" s="921" t="str">
        <f>IF(VLOOKUP($C$3&amp;"-"&amp;$D38,Import!$C:$H,5,FALSE)=0,"",VLOOKUP($C$3&amp;"-"&amp;$D38,Import!$C:$H,5,FALSE))</f>
        <v/>
      </c>
      <c r="S38" s="922" t="str">
        <f>IF(VLOOKUP($C$3&amp;"-"&amp;$D38,Import!$C:$H,6,FALSE)=0,"",VLOOKUP($C$3&amp;"-"&amp;$D38,Import!$C:$H,6,FALSE))</f>
        <v/>
      </c>
      <c r="T38" s="154"/>
      <c r="U38" s="252"/>
    </row>
    <row r="39" spans="1:21" s="296" customFormat="1" ht="34.950000000000003" customHeight="1" x14ac:dyDescent="0.2">
      <c r="A39" s="305"/>
      <c r="B39" s="1199"/>
      <c r="C39" s="1212"/>
      <c r="D39" s="294" t="s">
        <v>20</v>
      </c>
      <c r="E39" s="468" t="str">
        <f>IF(VLOOKUP(CONCATENATE($C$3,"-",$D39),Languages!$A:$D,1,TRUE)=CONCATENATE($C$3,"-",$D39),VLOOKUP(CONCATENATE($C$3,"-",$D39),Languages!$A:$D,Summary!$C$7,TRUE),NA())</f>
        <v>Kybertapahtumat määritetään kyberhäiriöiksi laaditun kriteeristön mukaisesti.</v>
      </c>
      <c r="F39" s="287">
        <f t="shared" si="1"/>
        <v>0</v>
      </c>
      <c r="G39" s="307" t="s">
        <v>2542</v>
      </c>
      <c r="H39" s="443"/>
      <c r="I39" s="443"/>
      <c r="J39" s="443"/>
      <c r="K39" s="452"/>
      <c r="L39" s="154"/>
      <c r="M39" s="252"/>
      <c r="N39" s="149"/>
      <c r="O39" s="892" t="str">
        <f>VLOOKUP(VLOOKUP($C$3&amp;"-"&amp;$D39,Import!$C:$D,2,FALSE),Parameters!$C$18:$F$22,Summary!$C$7,FALSE)</f>
        <v xml:space="preserve">0 - Vastaus puuttuu </v>
      </c>
      <c r="P39" s="916" t="str">
        <f>IF(VLOOKUP($C$3&amp;"-"&amp;$D39,Import!$C:$H,3,FALSE)=0,"",VLOOKUP($C$3&amp;"-"&amp;$D39,Import!$C:$H,3,FALSE))</f>
        <v/>
      </c>
      <c r="Q39" s="916" t="str">
        <f>IF(VLOOKUP($C$3&amp;"-"&amp;$D39,Import!$C:$H,4,FALSE)=0,"",VLOOKUP($C$3&amp;"-"&amp;$D39,Import!$C:$H,4,FALSE))</f>
        <v/>
      </c>
      <c r="R39" s="916" t="str">
        <f>IF(VLOOKUP($C$3&amp;"-"&amp;$D39,Import!$C:$H,5,FALSE)=0,"",VLOOKUP($C$3&amp;"-"&amp;$D39,Import!$C:$H,5,FALSE))</f>
        <v/>
      </c>
      <c r="S39" s="917" t="str">
        <f>IF(VLOOKUP($C$3&amp;"-"&amp;$D39,Import!$C:$H,6,FALSE)=0,"",VLOOKUP($C$3&amp;"-"&amp;$D39,Import!$C:$H,6,FALSE))</f>
        <v/>
      </c>
      <c r="T39" s="154"/>
      <c r="U39" s="252"/>
    </row>
    <row r="40" spans="1:21" s="296" customFormat="1" ht="61.8" customHeight="1" x14ac:dyDescent="0.2">
      <c r="A40" s="305"/>
      <c r="B40" s="1199"/>
      <c r="C40" s="1212"/>
      <c r="D40" s="294" t="s">
        <v>21</v>
      </c>
      <c r="E40" s="468" t="str">
        <f>IF(VLOOKUP(CONCATENATE($C$3,"-",$D40),Languages!$A:$D,1,TRUE)=CONCATENATE($C$3,"-",$D40),VLOOKUP(CONCATENATE($C$3,"-",$D40),Languages!$A:$D,Summary!$C$7,TRUE),NA())</f>
        <v>Kyberhäiriöiden määrittämisen kriteeristö päivitetään aika ajoin ja määriteltyjen tilanteiden kuten organisaatiomuutosten, harjoitustoiminnasta saatujen kokemusten tai uusien havaittujen uhkien perusteella.</v>
      </c>
      <c r="F40" s="287">
        <f t="shared" si="1"/>
        <v>0</v>
      </c>
      <c r="G40" s="307" t="s">
        <v>2542</v>
      </c>
      <c r="H40" s="443"/>
      <c r="I40" s="443"/>
      <c r="J40" s="443"/>
      <c r="K40" s="452"/>
      <c r="L40" s="154"/>
      <c r="M40" s="252"/>
      <c r="N40" s="149"/>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54"/>
      <c r="U40" s="252"/>
    </row>
    <row r="41" spans="1:21" s="296" customFormat="1" ht="46.8" customHeight="1" x14ac:dyDescent="0.2">
      <c r="A41" s="305"/>
      <c r="B41" s="1199"/>
      <c r="C41" s="1212"/>
      <c r="D41" s="294" t="s">
        <v>103</v>
      </c>
      <c r="E41" s="468" t="str">
        <f>IF(VLOOKUP(CONCATENATE($C$3,"-",$D41),Languages!$A:$D,1,TRUE)=CONCATENATE($C$3,"-",$D41),VLOOKUP(CONCATENATE($C$3,"-",$D41),Languages!$A:$D,Summary!$C$7,TRUE),NA())</f>
        <v>Kybertapahtumista ja -häiriöistä pidetään rekisteriä / kantaa, johon tapahtumat ja häiriöt kirjataan ja jossa niitä seurataan päättymiseen asti.</v>
      </c>
      <c r="F41" s="287">
        <f t="shared" si="1"/>
        <v>0</v>
      </c>
      <c r="G41" s="307" t="s">
        <v>2542</v>
      </c>
      <c r="H41" s="443"/>
      <c r="I41" s="443"/>
      <c r="J41" s="443"/>
      <c r="K41" s="452"/>
      <c r="L41" s="154"/>
      <c r="M41" s="252"/>
      <c r="N41" s="149"/>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54"/>
      <c r="U41" s="252"/>
    </row>
    <row r="42" spans="1:21" s="296" customFormat="1" ht="90" customHeight="1" x14ac:dyDescent="0.2">
      <c r="A42" s="305"/>
      <c r="B42" s="1199"/>
      <c r="C42" s="1208"/>
      <c r="D42" s="396" t="s">
        <v>165</v>
      </c>
      <c r="E42" s="474" t="str">
        <f>IF(VLOOKUP(CONCATENATE($C$3,"-",$D42),Languages!$A:$D,1,TRUE)=CONCATENATE($C$3,"-",$D42),VLOOKUP(CONCATENATE($C$3,"-",$D42),Languages!$A:$D,Summary!$C$7,TRUE),NA())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v>
      </c>
      <c r="F42" s="393">
        <f t="shared" si="1"/>
        <v>0</v>
      </c>
      <c r="G42" s="449" t="s">
        <v>2542</v>
      </c>
      <c r="H42" s="444"/>
      <c r="I42" s="444"/>
      <c r="J42" s="444"/>
      <c r="K42" s="453"/>
      <c r="L42" s="154"/>
      <c r="M42" s="252"/>
      <c r="N42" s="149"/>
      <c r="O42" s="897" t="str">
        <f>VLOOKUP(VLOOKUP($C$3&amp;"-"&amp;$D42,Import!$C:$D,2,FALSE),Parameters!$C$18:$F$22,Summary!$C$7,FALSE)</f>
        <v xml:space="preserve">0 - Vastaus puuttuu </v>
      </c>
      <c r="P42" s="923" t="str">
        <f>IF(VLOOKUP($C$3&amp;"-"&amp;$D42,Import!$C:$H,3,FALSE)=0,"",VLOOKUP($C$3&amp;"-"&amp;$D42,Import!$C:$H,3,FALSE))</f>
        <v/>
      </c>
      <c r="Q42" s="923" t="str">
        <f>IF(VLOOKUP($C$3&amp;"-"&amp;$D42,Import!$C:$H,4,FALSE)=0,"",VLOOKUP($C$3&amp;"-"&amp;$D42,Import!$C:$H,4,FALSE))</f>
        <v/>
      </c>
      <c r="R42" s="923" t="str">
        <f>IF(VLOOKUP($C$3&amp;"-"&amp;$D42,Import!$C:$H,5,FALSE)=0,"",VLOOKUP($C$3&amp;"-"&amp;$D42,Import!$C:$H,5,FALSE))</f>
        <v/>
      </c>
      <c r="S42" s="924" t="str">
        <f>IF(VLOOKUP($C$3&amp;"-"&amp;$D42,Import!$C:$H,6,FALSE)=0,"",VLOOKUP($C$3&amp;"-"&amp;$D42,Import!$C:$H,6,FALSE))</f>
        <v/>
      </c>
      <c r="T42" s="154"/>
      <c r="U42" s="252"/>
    </row>
    <row r="43" spans="1:21" s="296" customFormat="1" ht="46.2" customHeight="1" x14ac:dyDescent="0.2">
      <c r="A43" s="305"/>
      <c r="B43" s="1199"/>
      <c r="C43" s="1209">
        <v>3</v>
      </c>
      <c r="D43" s="395" t="s">
        <v>167</v>
      </c>
      <c r="E43" s="467" t="str">
        <f>IF(VLOOKUP(CONCATENATE($C$3,"-",$D43),Languages!$A:$D,1,TRUE)=CONCATENATE($C$3,"-",$D43),VLOOKUP(CONCATENATE($C$3,"-",$D43),Languages!$A:$D,Summary!$C$7,TRUE),NA())</f>
        <v>Kyberhäiriöiden määrittämisen kriteeristö on linjassa kyberriskien priorisoinnin kriteereiden kanssa [kts. RISK-3b].</v>
      </c>
      <c r="F43" s="386">
        <f t="shared" si="1"/>
        <v>0</v>
      </c>
      <c r="G43" s="445" t="s">
        <v>2542</v>
      </c>
      <c r="H43" s="442"/>
      <c r="I43" s="442"/>
      <c r="J43" s="442"/>
      <c r="K43" s="451"/>
      <c r="L43" s="154"/>
      <c r="M43" s="252"/>
      <c r="N43" s="149"/>
      <c r="O43" s="889" t="str">
        <f>VLOOKUP(VLOOKUP($C$3&amp;"-"&amp;$D43,Import!$C:$D,2,FALSE),Parameters!$C$18:$F$22,Summary!$C$7,FALSE)</f>
        <v xml:space="preserve">0 - Vastaus puuttuu </v>
      </c>
      <c r="P43" s="921" t="str">
        <f>IF(VLOOKUP($C$3&amp;"-"&amp;$D43,Import!$C:$H,3,FALSE)=0,"",VLOOKUP($C$3&amp;"-"&amp;$D43,Import!$C:$H,3,FALSE))</f>
        <v/>
      </c>
      <c r="Q43" s="921" t="str">
        <f>IF(VLOOKUP($C$3&amp;"-"&amp;$D43,Import!$C:$H,4,FALSE)=0,"",VLOOKUP($C$3&amp;"-"&amp;$D43,Import!$C:$H,4,FALSE))</f>
        <v/>
      </c>
      <c r="R43" s="921" t="str">
        <f>IF(VLOOKUP($C$3&amp;"-"&amp;$D43,Import!$C:$H,5,FALSE)=0,"",VLOOKUP($C$3&amp;"-"&amp;$D43,Import!$C:$H,5,FALSE))</f>
        <v/>
      </c>
      <c r="S43" s="922" t="str">
        <f>IF(VLOOKUP($C$3&amp;"-"&amp;$D43,Import!$C:$H,6,FALSE)=0,"",VLOOKUP($C$3&amp;"-"&amp;$D43,Import!$C:$H,6,FALSE))</f>
        <v/>
      </c>
      <c r="T43" s="154"/>
      <c r="U43" s="252"/>
    </row>
    <row r="44" spans="1:21" s="296" customFormat="1" ht="44.4" customHeight="1" x14ac:dyDescent="0.2">
      <c r="A44" s="305"/>
      <c r="B44" s="1199"/>
      <c r="C44" s="1211"/>
      <c r="D44" s="396" t="s">
        <v>198</v>
      </c>
      <c r="E44" s="474" t="str">
        <f>IF(VLOOKUP(CONCATENATE($C$3,"-",$D44),Languages!$A:$D,1,TRUE)=CONCATENATE($C$3,"-",$D44),VLOOKUP(CONCATENATE($C$3,"-",$D44),Languages!$A:$D,Summary!$C$7,TRUE),NA())</f>
        <v>Kyberhäiriöiden tietoja verrataan keskenään, jotta niistä tunnistettaisiin mahdollisia säännönmukaisuuksia, trendejä tai muita häiriöille yhteisiä piirteitä.</v>
      </c>
      <c r="F44" s="393">
        <f t="shared" si="1"/>
        <v>0</v>
      </c>
      <c r="G44" s="449" t="s">
        <v>2542</v>
      </c>
      <c r="H44" s="444"/>
      <c r="I44" s="444"/>
      <c r="J44" s="444"/>
      <c r="K44" s="453"/>
      <c r="L44" s="154"/>
      <c r="M44" s="252"/>
      <c r="N44" s="149"/>
      <c r="O44" s="897" t="str">
        <f>VLOOKUP(VLOOKUP($C$3&amp;"-"&amp;$D44,Import!$C:$D,2,FALSE),Parameters!$C$18:$F$22,Summary!$C$7,FALSE)</f>
        <v xml:space="preserve">0 - Vastaus puuttuu </v>
      </c>
      <c r="P44" s="923" t="str">
        <f>IF(VLOOKUP($C$3&amp;"-"&amp;$D44,Import!$C:$H,3,FALSE)=0,"",VLOOKUP($C$3&amp;"-"&amp;$D44,Import!$C:$H,3,FALSE))</f>
        <v/>
      </c>
      <c r="Q44" s="923" t="str">
        <f>IF(VLOOKUP($C$3&amp;"-"&amp;$D44,Import!$C:$H,4,FALSE)=0,"",VLOOKUP($C$3&amp;"-"&amp;$D44,Import!$C:$H,4,FALSE))</f>
        <v/>
      </c>
      <c r="R44" s="923" t="str">
        <f>IF(VLOOKUP($C$3&amp;"-"&amp;$D44,Import!$C:$H,5,FALSE)=0,"",VLOOKUP($C$3&amp;"-"&amp;$D44,Import!$C:$H,5,FALSE))</f>
        <v/>
      </c>
      <c r="S44" s="924" t="str">
        <f>IF(VLOOKUP($C$3&amp;"-"&amp;$D44,Import!$C:$H,6,FALSE)=0,"",VLOOKUP($C$3&amp;"-"&amp;$D44,Import!$C:$H,6,FALSE))</f>
        <v/>
      </c>
      <c r="T44" s="154"/>
      <c r="U44" s="252"/>
    </row>
    <row r="45" spans="1:21" s="177" customFormat="1" ht="30" customHeight="1" x14ac:dyDescent="0.25">
      <c r="A45" s="166"/>
      <c r="B45" s="269"/>
      <c r="C45" s="170">
        <v>3</v>
      </c>
      <c r="D45" s="170" t="str">
        <f>IF(VLOOKUP(CONCATENATE($C$3,"-",C45),Languages!$A:$D,1,TRUE)=CONCATENATE($C$3,"-",C45),VLOOKUP(CONCATENATE($C$3,"-",C45),Languages!$A:$D,Summary!$C$7,TRUE),NA())</f>
        <v>Tapahtumiin ja häiriöihin reagoiminen</v>
      </c>
      <c r="E45" s="170"/>
      <c r="F45" s="292"/>
      <c r="G45" s="907"/>
      <c r="H45" s="929"/>
      <c r="I45" s="929"/>
      <c r="J45" s="929"/>
      <c r="K45" s="929"/>
      <c r="L45" s="154"/>
      <c r="M45" s="252"/>
      <c r="N45" s="149"/>
      <c r="O45" s="292"/>
      <c r="P45" s="293"/>
      <c r="Q45" s="293"/>
      <c r="R45" s="293"/>
      <c r="S45" s="293"/>
      <c r="T45" s="154"/>
      <c r="U45" s="252"/>
    </row>
    <row r="46" spans="1:21" s="285" customFormat="1" ht="19.95" customHeight="1" x14ac:dyDescent="0.2">
      <c r="A46" s="304"/>
      <c r="B46" s="279"/>
      <c r="C46" s="280" t="str">
        <f>IF(VLOOKUP("GEN-LEVEL",Languages!$A:$D,1,TRUE)="GEN-LEVEL",VLOOKUP("GEN-LEVEL",Languages!$A:$D,Summary!$C$7,TRUE),NA())</f>
        <v>Taso</v>
      </c>
      <c r="D46" s="280"/>
      <c r="E46" s="281" t="str">
        <f>IF(VLOOKUP("GEN-PRACTICE",Languages!$A:$D,1,TRUE)="GEN-PRACTICE",VLOOKUP("GEN-PRACTICE",Languages!$A:$D,Summary!$C$7,TRUE),NA())</f>
        <v>Käytäntö</v>
      </c>
      <c r="F46" s="282"/>
      <c r="G46" s="904" t="str">
        <f>IF(VLOOKUP("GEN-ANSWER",Languages!$A:$D,1,TRUE)="GEN-ANSWER",VLOOKUP("GEN-ANSWER",Languages!$A:$D,Summary!$C$7,TRUE),NA())</f>
        <v>Vastaus</v>
      </c>
      <c r="H46" s="905" t="str">
        <f>IF(VLOOKUP("KM112",Languages!$A:$D,1,TRUE)="KM112",VLOOKUP("KM112",Languages!$A:$D,Summary!$C$7,TRUE),NA())</f>
        <v>Kommentit</v>
      </c>
      <c r="I46" s="905" t="str">
        <f>IF(VLOOKUP("KM113",Languages!$A:$D,1,TRUE)="KM113",VLOOKUP("KM113",Languages!$A:$D,Summary!$C$7,TRUE),NA())</f>
        <v>Sisäinen viittaus</v>
      </c>
      <c r="J46" s="905" t="str">
        <f>IF(VLOOKUP("KM114",Languages!$A:$D,1,TRUE)="KM114",VLOOKUP("KM114",Languages!$A:$D,Summary!$C$7,TRUE),NA())</f>
        <v>Ulkoinen viittaus</v>
      </c>
      <c r="K46" s="905" t="str">
        <f>IF(VLOOKUP("KM115",Languages!$A:$D,1,TRUE)="KM115",VLOOKUP("KM115",Languages!$A:$D,Summary!$C$7,TRUE),NA())</f>
        <v>Kehityskohde</v>
      </c>
      <c r="L46" s="283"/>
      <c r="M46" s="284"/>
      <c r="N46" s="279"/>
      <c r="O46" s="463" t="str">
        <f>IF(VLOOKUP("GEN-ANSWER",Languages!$A:$D,1,TRUE)="GEN-ANSWER",VLOOKUP("GEN-ANSWER",Languages!$A:$D,Summary!$C$7,TRUE),NA())</f>
        <v>Vastaus</v>
      </c>
      <c r="P46" s="463" t="str">
        <f>IF(VLOOKUP("KM112",Languages!$A:$D,1,TRUE)="KM112",VLOOKUP("KM112",Languages!$A:$D,Summary!$C$7,TRUE),NA())</f>
        <v>Kommentit</v>
      </c>
      <c r="Q46" s="463" t="str">
        <f>IF(VLOOKUP("KM113",Languages!$A:$D,1,TRUE)="KM113",VLOOKUP("KM113",Languages!$A:$D,Summary!$C$7,TRUE),NA())</f>
        <v>Sisäinen viittaus</v>
      </c>
      <c r="R46" s="463" t="str">
        <f>IF(VLOOKUP("KM114",Languages!$A:$D,1,TRUE)="KM114",VLOOKUP("KM114",Languages!$A:$D,Summary!$C$7,TRUE),NA())</f>
        <v>Ulkoinen viittaus</v>
      </c>
      <c r="S46" s="463" t="str">
        <f>IF(VLOOKUP("KM115",Languages!$A:$D,1,TRUE)="KM115",VLOOKUP("KM115",Languages!$A:$D,Summary!$C$7,TRUE),NA())</f>
        <v>Kehityskohde</v>
      </c>
      <c r="T46" s="283"/>
      <c r="U46" s="284"/>
    </row>
    <row r="47" spans="1:21" s="296" customFormat="1" ht="59.4" customHeight="1" x14ac:dyDescent="0.2">
      <c r="A47" s="305"/>
      <c r="B47" s="297"/>
      <c r="C47" s="1214">
        <v>1</v>
      </c>
      <c r="D47" s="395" t="s">
        <v>22</v>
      </c>
      <c r="E47" s="467" t="str">
        <f>IF(VLOOKUP(CONCATENATE($C$3,"-",$D47),Languages!$A:$D,1,TRUE)=CONCATENATE($C$3,"-",$D47),VLOOKUP(CONCATENATE($C$3,"-",$D47),Languages!$A:$D,Summary!$C$7,TRUE),NA())</f>
        <v>Kyberhäiriöihin reagoimista varten on tunnistettu soveltuvat työntekijät ja heille on annettu roolit (ainakin tapauskohtaisesti). Tasolla 1 tämän ei tarvitse olla systemaattista ja säännöllistä.</v>
      </c>
      <c r="F47" s="386">
        <f t="shared" ref="F47:F58" si="2">IFERROR(INT(LEFT($G47,1)),0)</f>
        <v>0</v>
      </c>
      <c r="G47" s="445" t="s">
        <v>2542</v>
      </c>
      <c r="H47" s="442"/>
      <c r="I47" s="442"/>
      <c r="J47" s="442"/>
      <c r="K47" s="451"/>
      <c r="L47" s="154"/>
      <c r="M47" s="252"/>
      <c r="N47" s="149"/>
      <c r="O47" s="889" t="str">
        <f>VLOOKUP(VLOOKUP($C$3&amp;"-"&amp;$D47,Import!$C:$D,2,FALSE),Parameters!$C$18:$F$22,Summary!$C$7,FALSE)</f>
        <v xml:space="preserve">0 - Vastaus puuttuu </v>
      </c>
      <c r="P47" s="921" t="str">
        <f>IF(VLOOKUP($C$3&amp;"-"&amp;$D47,Import!$C:$H,3,FALSE)=0,"",VLOOKUP($C$3&amp;"-"&amp;$D47,Import!$C:$H,3,FALSE))</f>
        <v/>
      </c>
      <c r="Q47" s="921" t="str">
        <f>IF(VLOOKUP($C$3&amp;"-"&amp;$D47,Import!$C:$H,4,FALSE)=0,"",VLOOKUP($C$3&amp;"-"&amp;$D47,Import!$C:$H,4,FALSE))</f>
        <v/>
      </c>
      <c r="R47" s="921" t="str">
        <f>IF(VLOOKUP($C$3&amp;"-"&amp;$D47,Import!$C:$H,5,FALSE)=0,"",VLOOKUP($C$3&amp;"-"&amp;$D47,Import!$C:$H,5,FALSE))</f>
        <v/>
      </c>
      <c r="S47" s="922" t="str">
        <f>IF(VLOOKUP($C$3&amp;"-"&amp;$D47,Import!$C:$H,6,FALSE)=0,"",VLOOKUP($C$3&amp;"-"&amp;$D47,Import!$C:$H,6,FALSE))</f>
        <v/>
      </c>
      <c r="T47" s="154"/>
      <c r="U47" s="252"/>
    </row>
    <row r="48" spans="1:21" s="296" customFormat="1" ht="56.4" customHeight="1" x14ac:dyDescent="0.2">
      <c r="A48" s="305"/>
      <c r="B48" s="297"/>
      <c r="C48" s="1232"/>
      <c r="D48" s="294" t="s">
        <v>23</v>
      </c>
      <c r="E48" s="468" t="str">
        <f>IF(VLOOKUP(CONCATENATE($C$3,"-",$D48),Languages!$A:$D,1,TRUE)=CONCATENATE($C$3,"-",$D48),VLOOKUP(CONCATENATE($C$3,"-",$D48),Languages!$A:$D,Summary!$C$7,TRUE),NA())</f>
        <v>Kyberhäiriöihin reagoidaan siten, että toiminnalla (voidaan toteuttaa tapauskohtaisesti) rajoitetaan toimintoon kohdistuvaa vaikutusta ja palautetaan toiminta normaaliksi. Tasolla 1 tämän ei tarvitse olla systemaattista ja säännöllistä.</v>
      </c>
      <c r="F48" s="287">
        <f t="shared" si="2"/>
        <v>0</v>
      </c>
      <c r="G48" s="307" t="s">
        <v>2542</v>
      </c>
      <c r="H48" s="443"/>
      <c r="I48" s="443"/>
      <c r="J48" s="443"/>
      <c r="K48" s="452"/>
      <c r="L48" s="154"/>
      <c r="M48" s="252"/>
      <c r="N48" s="149"/>
      <c r="O48" s="892" t="str">
        <f>VLOOKUP(VLOOKUP($C$3&amp;"-"&amp;$D48,Import!$C:$D,2,FALSE),Parameters!$C$18:$F$22,Summary!$C$7,FALSE)</f>
        <v xml:space="preserve">0 - Vastaus puuttuu </v>
      </c>
      <c r="P48" s="916" t="str">
        <f>IF(VLOOKUP($C$3&amp;"-"&amp;$D48,Import!$C:$H,3,FALSE)=0,"",VLOOKUP($C$3&amp;"-"&amp;$D48,Import!$C:$H,3,FALSE))</f>
        <v/>
      </c>
      <c r="Q48" s="916" t="str">
        <f>IF(VLOOKUP($C$3&amp;"-"&amp;$D48,Import!$C:$H,4,FALSE)=0,"",VLOOKUP($C$3&amp;"-"&amp;$D48,Import!$C:$H,4,FALSE))</f>
        <v/>
      </c>
      <c r="R48" s="916" t="str">
        <f>IF(VLOOKUP($C$3&amp;"-"&amp;$D48,Import!$C:$H,5,FALSE)=0,"",VLOOKUP($C$3&amp;"-"&amp;$D48,Import!$C:$H,5,FALSE))</f>
        <v/>
      </c>
      <c r="S48" s="917" t="str">
        <f>IF(VLOOKUP($C$3&amp;"-"&amp;$D48,Import!$C:$H,6,FALSE)=0,"",VLOOKUP($C$3&amp;"-"&amp;$D48,Import!$C:$H,6,FALSE))</f>
        <v/>
      </c>
      <c r="T48" s="154"/>
      <c r="U48" s="252"/>
    </row>
    <row r="49" spans="1:21" s="296" customFormat="1" ht="45" customHeight="1" x14ac:dyDescent="0.2">
      <c r="A49" s="305"/>
      <c r="B49" s="297"/>
      <c r="C49" s="1215"/>
      <c r="D49" s="396" t="s">
        <v>24</v>
      </c>
      <c r="E49" s="474" t="str">
        <f>IF(VLOOKUP(CONCATENATE($C$3,"-",$D49),Languages!$A:$D,1,TRUE)=CONCATENATE($C$3,"-",$D49),VLOOKUP(CONCATENATE($C$3,"-",$D49),Languages!$A:$D,Summary!$C$7,TRUE),NA())</f>
        <v>Kyberhäiriöistä tuotetaan raportointia (esimerkiksi sisäisesti, CERT-FI tai soveltuville ISAC-ryhmille). Tasolla 1 tämän ei tarvitse olla systemaattista ja säännöllistä.</v>
      </c>
      <c r="F49" s="393">
        <f t="shared" si="2"/>
        <v>0</v>
      </c>
      <c r="G49" s="449" t="s">
        <v>2542</v>
      </c>
      <c r="H49" s="444"/>
      <c r="I49" s="444"/>
      <c r="J49" s="444"/>
      <c r="K49" s="453"/>
      <c r="L49" s="154"/>
      <c r="M49" s="252"/>
      <c r="N49" s="149"/>
      <c r="O49" s="897" t="str">
        <f>VLOOKUP(VLOOKUP($C$3&amp;"-"&amp;$D49,Import!$C:$D,2,FALSE),Parameters!$C$18:$F$22,Summary!$C$7,FALSE)</f>
        <v xml:space="preserve">0 - Vastaus puuttuu </v>
      </c>
      <c r="P49" s="923" t="str">
        <f>IF(VLOOKUP($C$3&amp;"-"&amp;$D49,Import!$C:$H,3,FALSE)=0,"",VLOOKUP($C$3&amp;"-"&amp;$D49,Import!$C:$H,3,FALSE))</f>
        <v/>
      </c>
      <c r="Q49" s="923" t="str">
        <f>IF(VLOOKUP($C$3&amp;"-"&amp;$D49,Import!$C:$H,4,FALSE)=0,"",VLOOKUP($C$3&amp;"-"&amp;$D49,Import!$C:$H,4,FALSE))</f>
        <v/>
      </c>
      <c r="R49" s="923" t="str">
        <f>IF(VLOOKUP($C$3&amp;"-"&amp;$D49,Import!$C:$H,5,FALSE)=0,"",VLOOKUP($C$3&amp;"-"&amp;$D49,Import!$C:$H,5,FALSE))</f>
        <v/>
      </c>
      <c r="S49" s="924" t="str">
        <f>IF(VLOOKUP($C$3&amp;"-"&amp;$D49,Import!$C:$H,6,FALSE)=0,"",VLOOKUP($C$3&amp;"-"&amp;$D49,Import!$C:$H,6,FALSE))</f>
        <v/>
      </c>
      <c r="T49" s="154"/>
      <c r="U49" s="252"/>
    </row>
    <row r="50" spans="1:21" s="296" customFormat="1" ht="34.950000000000003" customHeight="1" x14ac:dyDescent="0.2">
      <c r="A50" s="305"/>
      <c r="B50" s="297"/>
      <c r="C50" s="1207">
        <v>2</v>
      </c>
      <c r="D50" s="395" t="s">
        <v>25</v>
      </c>
      <c r="E50" s="467" t="str">
        <f>IF(VLOOKUP(CONCATENATE($C$3,"-",$D50),Languages!$A:$D,1,TRUE)=CONCATENATE($C$3,"-",$D50),VLOOKUP(CONCATENATE($C$3,"-",$D50),Languages!$A:$D,Summary!$C$7,TRUE),NA())</f>
        <v>Kyberhäiriöiden reagoimisen varalle on luotu suunnitelma, jota pidetään yllä ja joka kattaa koko häiriönhallinnan elinkaaren.</v>
      </c>
      <c r="F50" s="386">
        <f t="shared" si="2"/>
        <v>0</v>
      </c>
      <c r="G50" s="445" t="s">
        <v>2542</v>
      </c>
      <c r="H50" s="442"/>
      <c r="I50" s="442"/>
      <c r="J50" s="442"/>
      <c r="K50" s="451"/>
      <c r="L50" s="154"/>
      <c r="M50" s="252"/>
      <c r="N50" s="149"/>
      <c r="O50" s="889" t="str">
        <f>VLOOKUP(VLOOKUP($C$3&amp;"-"&amp;$D50,Import!$C:$D,2,FALSE),Parameters!$C$18:$F$22,Summary!$C$7,FALSE)</f>
        <v xml:space="preserve">0 - Vastaus puuttuu </v>
      </c>
      <c r="P50" s="921" t="str">
        <f>IF(VLOOKUP($C$3&amp;"-"&amp;$D50,Import!$C:$H,3,FALSE)=0,"",VLOOKUP($C$3&amp;"-"&amp;$D50,Import!$C:$H,3,FALSE))</f>
        <v/>
      </c>
      <c r="Q50" s="921" t="str">
        <f>IF(VLOOKUP($C$3&amp;"-"&amp;$D50,Import!$C:$H,4,FALSE)=0,"",VLOOKUP($C$3&amp;"-"&amp;$D50,Import!$C:$H,4,FALSE))</f>
        <v/>
      </c>
      <c r="R50" s="921" t="str">
        <f>IF(VLOOKUP($C$3&amp;"-"&amp;$D50,Import!$C:$H,5,FALSE)=0,"",VLOOKUP($C$3&amp;"-"&amp;$D50,Import!$C:$H,5,FALSE))</f>
        <v/>
      </c>
      <c r="S50" s="922" t="str">
        <f>IF(VLOOKUP($C$3&amp;"-"&amp;$D50,Import!$C:$H,6,FALSE)=0,"",VLOOKUP($C$3&amp;"-"&amp;$D50,Import!$C:$H,6,FALSE))</f>
        <v/>
      </c>
      <c r="T50" s="154"/>
      <c r="U50" s="252"/>
    </row>
    <row r="51" spans="1:21" s="296" customFormat="1" ht="34.950000000000003" customHeight="1" x14ac:dyDescent="0.2">
      <c r="A51" s="305"/>
      <c r="B51" s="297"/>
      <c r="C51" s="1212"/>
      <c r="D51" s="294" t="s">
        <v>26</v>
      </c>
      <c r="E51" s="468" t="str">
        <f>IF(VLOOKUP(CONCATENATE($C$3,"-",$D51),Languages!$A:$D,1,TRUE)=CONCATENATE($C$3,"-",$D51),VLOOKUP(CONCATENATE($C$3,"-",$D51),Languages!$A:$D,Summary!$C$7,TRUE),NA())</f>
        <v>Kyberhäiriöihin reagoidaan määriteltyjen suunnitelmien ja menettelytapojen mukaisesti.</v>
      </c>
      <c r="F51" s="287">
        <f t="shared" si="2"/>
        <v>0</v>
      </c>
      <c r="G51" s="307" t="s">
        <v>2542</v>
      </c>
      <c r="H51" s="443"/>
      <c r="I51" s="443"/>
      <c r="J51" s="443"/>
      <c r="K51" s="452"/>
      <c r="L51" s="154"/>
      <c r="M51" s="252"/>
      <c r="N51" s="149"/>
      <c r="O51" s="892" t="str">
        <f>VLOOKUP(VLOOKUP($C$3&amp;"-"&amp;$D51,Import!$C:$D,2,FALSE),Parameters!$C$18:$F$22,Summary!$C$7,FALSE)</f>
        <v xml:space="preserve">0 - Vastaus puuttuu </v>
      </c>
      <c r="P51" s="916" t="str">
        <f>IF(VLOOKUP($C$3&amp;"-"&amp;$D51,Import!$C:$H,3,FALSE)=0,"",VLOOKUP($C$3&amp;"-"&amp;$D51,Import!$C:$H,3,FALSE))</f>
        <v/>
      </c>
      <c r="Q51" s="916" t="str">
        <f>IF(VLOOKUP($C$3&amp;"-"&amp;$D51,Import!$C:$H,4,FALSE)=0,"",VLOOKUP($C$3&amp;"-"&amp;$D51,Import!$C:$H,4,FALSE))</f>
        <v/>
      </c>
      <c r="R51" s="916" t="str">
        <f>IF(VLOOKUP($C$3&amp;"-"&amp;$D51,Import!$C:$H,5,FALSE)=0,"",VLOOKUP($C$3&amp;"-"&amp;$D51,Import!$C:$H,5,FALSE))</f>
        <v/>
      </c>
      <c r="S51" s="917" t="str">
        <f>IF(VLOOKUP($C$3&amp;"-"&amp;$D51,Import!$C:$H,6,FALSE)=0,"",VLOOKUP($C$3&amp;"-"&amp;$D51,Import!$C:$H,6,FALSE))</f>
        <v/>
      </c>
      <c r="T51" s="154"/>
      <c r="U51" s="252"/>
    </row>
    <row r="52" spans="1:21" s="296" customFormat="1" ht="45" customHeight="1" x14ac:dyDescent="0.2">
      <c r="A52" s="305"/>
      <c r="B52" s="297"/>
      <c r="C52" s="1212"/>
      <c r="D52" s="294" t="s">
        <v>27</v>
      </c>
      <c r="E52" s="468" t="str">
        <f>IF(VLOOKUP(CONCATENATE($C$3,"-",$D52),Languages!$A:$D,1,TRUE)=CONCATENATE($C$3,"-",$D52),VLOOKUP(CONCATENATE($C$3,"-",$D52),Languages!$A:$D,Summary!$C$7,TRUE),NA())</f>
        <v>Kyberhäiriöiden hallintasuunnitelma sisältää viestintäsuunnitelman, joka kattaa sekä sisäiset että ulkoiset sidosryhmät</v>
      </c>
      <c r="F52" s="287">
        <f t="shared" si="2"/>
        <v>0</v>
      </c>
      <c r="G52" s="307" t="s">
        <v>2542</v>
      </c>
      <c r="H52" s="443"/>
      <c r="I52" s="443"/>
      <c r="J52" s="443"/>
      <c r="K52" s="452"/>
      <c r="L52" s="154"/>
      <c r="M52" s="252"/>
      <c r="N52" s="149"/>
      <c r="O52" s="892" t="str">
        <f>VLOOKUP(VLOOKUP($C$3&amp;"-"&amp;$D52,Import!$C:$D,2,FALSE),Parameters!$C$18:$F$22,Summary!$C$7,FALSE)</f>
        <v xml:space="preserve">0 - Vastaus puuttuu </v>
      </c>
      <c r="P52" s="916" t="str">
        <f>IF(VLOOKUP($C$3&amp;"-"&amp;$D52,Import!$C:$H,3,FALSE)=0,"",VLOOKUP($C$3&amp;"-"&amp;$D52,Import!$C:$H,3,FALSE))</f>
        <v/>
      </c>
      <c r="Q52" s="916" t="str">
        <f>IF(VLOOKUP($C$3&amp;"-"&amp;$D52,Import!$C:$H,4,FALSE)=0,"",VLOOKUP($C$3&amp;"-"&amp;$D52,Import!$C:$H,4,FALSE))</f>
        <v/>
      </c>
      <c r="R52" s="916" t="str">
        <f>IF(VLOOKUP($C$3&amp;"-"&amp;$D52,Import!$C:$H,5,FALSE)=0,"",VLOOKUP($C$3&amp;"-"&amp;$D52,Import!$C:$H,5,FALSE))</f>
        <v/>
      </c>
      <c r="S52" s="917" t="str">
        <f>IF(VLOOKUP($C$3&amp;"-"&amp;$D52,Import!$C:$H,6,FALSE)=0,"",VLOOKUP($C$3&amp;"-"&amp;$D52,Import!$C:$H,6,FALSE))</f>
        <v/>
      </c>
      <c r="T52" s="154"/>
      <c r="U52" s="252"/>
    </row>
    <row r="53" spans="1:21" s="296" customFormat="1" ht="45" customHeight="1" x14ac:dyDescent="0.2">
      <c r="A53" s="305"/>
      <c r="B53" s="297"/>
      <c r="C53" s="1212"/>
      <c r="D53" s="396" t="s">
        <v>28</v>
      </c>
      <c r="E53" s="474" t="str">
        <f>IF(VLOOKUP(CONCATENATE($C$3,"-",$D53),Languages!$A:$D,1,TRUE)=CONCATENATE($C$3,"-",$D53),VLOOKUP(CONCATENATE($C$3,"-",$D53),Languages!$A:$D,Summary!$C$7,TRUE),NA())</f>
        <v>Kyberhäiriöihin reagoinnin suunnitelmia harjoitellaan määräajoin ja määriteltyjen tilanteiden kuten järjestelmämuutosten tai ulkoisten tapahtumien yhteydessä.</v>
      </c>
      <c r="F53" s="393">
        <f t="shared" si="2"/>
        <v>0</v>
      </c>
      <c r="G53" s="449" t="s">
        <v>2542</v>
      </c>
      <c r="H53" s="444"/>
      <c r="I53" s="444"/>
      <c r="J53" s="444"/>
      <c r="K53" s="453"/>
      <c r="L53" s="154"/>
      <c r="M53" s="252"/>
      <c r="N53" s="149"/>
      <c r="O53" s="897" t="str">
        <f>VLOOKUP(VLOOKUP($C$3&amp;"-"&amp;$D53,Import!$C:$D,2,FALSE),Parameters!$C$18:$F$22,Summary!$C$7,FALSE)</f>
        <v xml:space="preserve">0 - Vastaus puuttuu </v>
      </c>
      <c r="P53" s="923" t="str">
        <f>IF(VLOOKUP($C$3&amp;"-"&amp;$D53,Import!$C:$H,3,FALSE)=0,"",VLOOKUP($C$3&amp;"-"&amp;$D53,Import!$C:$H,3,FALSE))</f>
        <v/>
      </c>
      <c r="Q53" s="923" t="str">
        <f>IF(VLOOKUP($C$3&amp;"-"&amp;$D53,Import!$C:$H,4,FALSE)=0,"",VLOOKUP($C$3&amp;"-"&amp;$D53,Import!$C:$H,4,FALSE))</f>
        <v/>
      </c>
      <c r="R53" s="923" t="str">
        <f>IF(VLOOKUP($C$3&amp;"-"&amp;$D53,Import!$C:$H,5,FALSE)=0,"",VLOOKUP($C$3&amp;"-"&amp;$D53,Import!$C:$H,5,FALSE))</f>
        <v/>
      </c>
      <c r="S53" s="924" t="str">
        <f>IF(VLOOKUP($C$3&amp;"-"&amp;$D53,Import!$C:$H,6,FALSE)=0,"",VLOOKUP($C$3&amp;"-"&amp;$D53,Import!$C:$H,6,FALSE))</f>
        <v/>
      </c>
      <c r="T53" s="154"/>
      <c r="U53" s="252"/>
    </row>
    <row r="54" spans="1:21" s="296" customFormat="1" ht="51" customHeight="1" x14ac:dyDescent="0.2">
      <c r="A54" s="305"/>
      <c r="B54" s="297"/>
      <c r="C54" s="1208"/>
      <c r="D54" s="399" t="s">
        <v>232</v>
      </c>
      <c r="E54" s="466" t="str">
        <f>IF(VLOOKUP(CONCATENATE($C$3,"-",$D54),Languages!$A:$D,1,TRUE)=CONCATENATE($C$3,"-",$D54),VLOOKUP(CONCATENATE($C$3,"-",$D54),Languages!$A:$D,Summary!$C$7,TRUE),NA())</f>
        <v>Kyberhäiriöiden perusteella toteutetuista toimista otetaan opiksi ja korjaavia toimenpiteitä toteutetaan, mukaan lukien toimintasuunnitelmien päivittäminen.</v>
      </c>
      <c r="F54" s="391">
        <f t="shared" si="2"/>
        <v>0</v>
      </c>
      <c r="G54" s="456" t="s">
        <v>2542</v>
      </c>
      <c r="H54" s="454"/>
      <c r="I54" s="454"/>
      <c r="J54" s="454"/>
      <c r="K54" s="455"/>
      <c r="L54" s="154"/>
      <c r="M54" s="252"/>
      <c r="N54" s="149"/>
      <c r="O54" s="886" t="str">
        <f>VLOOKUP(VLOOKUP($C$3&amp;"-"&amp;$D54,Import!$C:$D,2,FALSE),Parameters!$C$18:$F$22,Summary!$C$7,FALSE)</f>
        <v xml:space="preserve">0 - Vastaus puuttuu </v>
      </c>
      <c r="P54" s="925" t="str">
        <f>IF(VLOOKUP($C$3&amp;"-"&amp;$D54,Import!$C:$H,3,FALSE)=0,"",VLOOKUP($C$3&amp;"-"&amp;$D54,Import!$C:$H,3,FALSE))</f>
        <v/>
      </c>
      <c r="Q54" s="925" t="str">
        <f>IF(VLOOKUP($C$3&amp;"-"&amp;$D54,Import!$C:$H,4,FALSE)=0,"",VLOOKUP($C$3&amp;"-"&amp;$D54,Import!$C:$H,4,FALSE))</f>
        <v/>
      </c>
      <c r="R54" s="925" t="str">
        <f>IF(VLOOKUP($C$3&amp;"-"&amp;$D54,Import!$C:$H,5,FALSE)=0,"",VLOOKUP($C$3&amp;"-"&amp;$D54,Import!$C:$H,5,FALSE))</f>
        <v/>
      </c>
      <c r="S54" s="926" t="str">
        <f>IF(VLOOKUP($C$3&amp;"-"&amp;$D54,Import!$C:$H,6,FALSE)=0,"",VLOOKUP($C$3&amp;"-"&amp;$D54,Import!$C:$H,6,FALSE))</f>
        <v/>
      </c>
      <c r="T54" s="154"/>
      <c r="U54" s="252"/>
    </row>
    <row r="55" spans="1:21" s="296" customFormat="1" ht="57.6" customHeight="1" x14ac:dyDescent="0.2">
      <c r="A55" s="305"/>
      <c r="B55" s="297"/>
      <c r="C55" s="1015">
        <v>3</v>
      </c>
      <c r="D55" s="1049" t="s">
        <v>264</v>
      </c>
      <c r="E55" s="475" t="str">
        <f>IF(VLOOKUP(CONCATENATE($C$3,"-",$D55),Languages!$A:$D,1,TRUE)=CONCATENATE($C$3,"-",$D55),VLOOKUP(CONCATENATE($C$3,"-",$D55),Languages!$A:$D,Summary!$C$7,TRUE),NA())</f>
        <v>Kyberhäiriöiden juurisyyt analysoidaan ja korjaavia toimenpiteitä toteutetaan, mukaan lukien toimintasuunnitelmien päivittäminen.</v>
      </c>
      <c r="F55" s="394">
        <f t="shared" si="2"/>
        <v>0</v>
      </c>
      <c r="G55" s="491" t="s">
        <v>2542</v>
      </c>
      <c r="H55" s="1047"/>
      <c r="I55" s="1047"/>
      <c r="J55" s="1047"/>
      <c r="K55" s="1048"/>
      <c r="L55" s="154"/>
      <c r="M55" s="252"/>
      <c r="N55" s="149"/>
      <c r="O55" s="913" t="str">
        <f>VLOOKUP(VLOOKUP($C$3&amp;"-"&amp;$D55,Import!$C:$D,2,FALSE),Parameters!$C$18:$F$22,Summary!$C$7,FALSE)</f>
        <v xml:space="preserve">0 - Vastaus puuttuu </v>
      </c>
      <c r="P55" s="947" t="str">
        <f>IF(VLOOKUP($C$3&amp;"-"&amp;$D55,Import!$C:$H,3,FALSE)=0,"",VLOOKUP($C$3&amp;"-"&amp;$D55,Import!$C:$H,3,FALSE))</f>
        <v/>
      </c>
      <c r="Q55" s="947" t="str">
        <f>IF(VLOOKUP($C$3&amp;"-"&amp;$D55,Import!$C:$H,4,FALSE)=0,"",VLOOKUP($C$3&amp;"-"&amp;$D55,Import!$C:$H,4,FALSE))</f>
        <v/>
      </c>
      <c r="R55" s="947" t="str">
        <f>IF(VLOOKUP($C$3&amp;"-"&amp;$D55,Import!$C:$H,5,FALSE)=0,"",VLOOKUP($C$3&amp;"-"&amp;$D55,Import!$C:$H,5,FALSE))</f>
        <v/>
      </c>
      <c r="S55" s="948" t="str">
        <f>IF(VLOOKUP($C$3&amp;"-"&amp;$D55,Import!$C:$H,6,FALSE)=0,"",VLOOKUP($C$3&amp;"-"&amp;$D55,Import!$C:$H,6,FALSE))</f>
        <v/>
      </c>
      <c r="T55" s="154"/>
      <c r="U55" s="252"/>
    </row>
    <row r="56" spans="1:21" s="296" customFormat="1" ht="56.4" customHeight="1" x14ac:dyDescent="0.2">
      <c r="A56" s="305"/>
      <c r="B56" s="297"/>
      <c r="C56" s="1015">
        <v>3</v>
      </c>
      <c r="D56" s="294" t="s">
        <v>266</v>
      </c>
      <c r="E56" s="468" t="str">
        <f>IF(VLOOKUP(CONCATENATE($C$3,"-",$D56),Languages!$A:$D,1,TRUE)=CONCATENATE($C$3,"-",$D56),VLOOKUP(CONCATENATE($C$3,"-",$D56),Languages!$A:$D,Summary!$C$7,TRUE),NA())</f>
        <v>Kyberhäiriöihin reagointi koordinoidaan soveltuvin osin toimittajien, viranomaisten ja muiden ulkopuolisten tahojen kanssa. Tähän kuuluu tukitoimet todistusaineiston keräämiselle ja säilyttämiselle.</v>
      </c>
      <c r="F56" s="287">
        <f t="shared" si="2"/>
        <v>0</v>
      </c>
      <c r="G56" s="307" t="s">
        <v>2542</v>
      </c>
      <c r="H56" s="443"/>
      <c r="I56" s="443"/>
      <c r="J56" s="443"/>
      <c r="K56" s="452"/>
      <c r="L56" s="154"/>
      <c r="M56" s="252"/>
      <c r="N56" s="149"/>
      <c r="O56" s="892" t="str">
        <f>VLOOKUP(VLOOKUP($C$3&amp;"-"&amp;$D56,Import!$C:$D,2,FALSE),Parameters!$C$18:$F$22,Summary!$C$7,FALSE)</f>
        <v xml:space="preserve">0 - Vastaus puuttuu </v>
      </c>
      <c r="P56" s="916" t="str">
        <f>IF(VLOOKUP($C$3&amp;"-"&amp;$D56,Import!$C:$H,3,FALSE)=0,"",VLOOKUP($C$3&amp;"-"&amp;$D56,Import!$C:$H,3,FALSE))</f>
        <v/>
      </c>
      <c r="Q56" s="916" t="str">
        <f>IF(VLOOKUP($C$3&amp;"-"&amp;$D56,Import!$C:$H,4,FALSE)=0,"",VLOOKUP($C$3&amp;"-"&amp;$D56,Import!$C:$H,4,FALSE))</f>
        <v/>
      </c>
      <c r="R56" s="916" t="str">
        <f>IF(VLOOKUP($C$3&amp;"-"&amp;$D56,Import!$C:$H,5,FALSE)=0,"",VLOOKUP($C$3&amp;"-"&amp;$D56,Import!$C:$H,5,FALSE))</f>
        <v/>
      </c>
      <c r="S56" s="917" t="str">
        <f>IF(VLOOKUP($C$3&amp;"-"&amp;$D56,Import!$C:$H,6,FALSE)=0,"",VLOOKUP($C$3&amp;"-"&amp;$D56,Import!$C:$H,6,FALSE))</f>
        <v/>
      </c>
      <c r="T56" s="154"/>
      <c r="U56" s="252"/>
    </row>
    <row r="57" spans="1:21" s="296" customFormat="1" ht="56.4" customHeight="1" x14ac:dyDescent="0.2">
      <c r="A57" s="305"/>
      <c r="B57" s="1013"/>
      <c r="C57" s="1015">
        <v>3</v>
      </c>
      <c r="D57" s="1026" t="s">
        <v>361</v>
      </c>
      <c r="E57" s="474" t="str">
        <f>IF(VLOOKUP(CONCATENATE($C$3,"-",$D57),Languages!$A:$D,1,TRUE)=CONCATENATE($C$3,"-",$D57),VLOOKUP(CONCATENATE($C$3,"-",$D57),Languages!$A:$D,Summary!$C$7,TRUE),NA())</f>
        <v>Kyberhäiriöiden käsittelyyn ja reagointiin osallistuvat työntekijät ottavat osaa yhteisiin harjoituksiin muiden organisaatioiden kanssa (esim. työpöytäharjoitukset, simulaatiot).</v>
      </c>
      <c r="F57" s="287">
        <f t="shared" si="2"/>
        <v>0</v>
      </c>
      <c r="G57" s="501" t="s">
        <v>2542</v>
      </c>
      <c r="H57" s="493"/>
      <c r="I57" s="493"/>
      <c r="J57" s="493"/>
      <c r="K57" s="494"/>
      <c r="L57" s="154"/>
      <c r="M57" s="252"/>
      <c r="N57" s="149"/>
      <c r="O57" s="892" t="str">
        <f>VLOOKUP(VLOOKUP($C$3&amp;"-"&amp;$D57,Import!$C:$D,2,FALSE),Parameters!$C$18:$F$22,Summary!$C$7,FALSE)</f>
        <v xml:space="preserve">0 - Vastaus puuttuu </v>
      </c>
      <c r="P57" s="919"/>
      <c r="Q57" s="919"/>
      <c r="R57" s="919"/>
      <c r="S57" s="920"/>
      <c r="T57" s="154"/>
      <c r="U57" s="252"/>
    </row>
    <row r="58" spans="1:21" s="296" customFormat="1" ht="34.950000000000003" customHeight="1" x14ac:dyDescent="0.2">
      <c r="A58" s="305"/>
      <c r="B58" s="380"/>
      <c r="C58" s="1014">
        <v>3</v>
      </c>
      <c r="D58" s="396" t="s">
        <v>2799</v>
      </c>
      <c r="E58" s="474" t="str">
        <f>IF(VLOOKUP(CONCATENATE($C$3,"-",$D58),Languages!$A:$D,1,TRUE)=CONCATENATE($C$3,"-",$D58),VLOOKUP(CONCATENATE($C$3,"-",$D58),Languages!$A:$D,Summary!$C$7,TRUE),NA())</f>
        <v>Kyberhäiriöihin reagoinnissa noudatetaan ennalta määriteltyjä toimintatiloja [kts. SITUATION-3g].</v>
      </c>
      <c r="F58" s="393">
        <f t="shared" si="2"/>
        <v>0</v>
      </c>
      <c r="G58" s="449" t="s">
        <v>2542</v>
      </c>
      <c r="H58" s="444"/>
      <c r="I58" s="444"/>
      <c r="J58" s="444"/>
      <c r="K58" s="453"/>
      <c r="L58" s="154"/>
      <c r="M58" s="252"/>
      <c r="N58" s="149"/>
      <c r="O58" s="897" t="str">
        <f>VLOOKUP(VLOOKUP($C$3&amp;"-"&amp;$D58,Import!$C:$D,2,FALSE),Parameters!$C$18:$F$22,Summary!$C$7,FALSE)</f>
        <v xml:space="preserve">0 - Vastaus puuttuu </v>
      </c>
      <c r="P58" s="923" t="str">
        <f>IF(VLOOKUP($C$3&amp;"-"&amp;$D58,Import!$C:$H,3,FALSE)=0,"",VLOOKUP($C$3&amp;"-"&amp;$D58,Import!$C:$H,3,FALSE))</f>
        <v/>
      </c>
      <c r="Q58" s="923" t="str">
        <f>IF(VLOOKUP($C$3&amp;"-"&amp;$D58,Import!$C:$H,4,FALSE)=0,"",VLOOKUP($C$3&amp;"-"&amp;$D58,Import!$C:$H,4,FALSE))</f>
        <v/>
      </c>
      <c r="R58" s="923" t="str">
        <f>IF(VLOOKUP($C$3&amp;"-"&amp;$D58,Import!$C:$H,5,FALSE)=0,"",VLOOKUP($C$3&amp;"-"&amp;$D58,Import!$C:$H,5,FALSE))</f>
        <v/>
      </c>
      <c r="S58" s="924" t="str">
        <f>IF(VLOOKUP($C$3&amp;"-"&amp;$D58,Import!$C:$H,6,FALSE)=0,"",VLOOKUP($C$3&amp;"-"&amp;$D58,Import!$C:$H,6,FALSE))</f>
        <v/>
      </c>
      <c r="T58" s="154"/>
      <c r="U58" s="252"/>
    </row>
    <row r="59" spans="1:21" s="177" customFormat="1" ht="30" customHeight="1" x14ac:dyDescent="0.25">
      <c r="A59" s="166">
        <v>1</v>
      </c>
      <c r="B59" s="269"/>
      <c r="C59" s="170">
        <v>4</v>
      </c>
      <c r="D59" s="170" t="str">
        <f>IF(VLOOKUP(CONCATENATE($C$3,"-",C59),Languages!$A:$D,1,TRUE)=CONCATENATE($C$3,"-",C59),VLOOKUP(CONCATENATE($C$3,"-",C59),Languages!$A:$D,Summary!$C$7,TRUE),NA())</f>
        <v>Kyberturvallisuus osana toiminnan jatkuvuutta</v>
      </c>
      <c r="E59" s="170"/>
      <c r="F59" s="292"/>
      <c r="G59" s="907"/>
      <c r="H59" s="929"/>
      <c r="I59" s="929"/>
      <c r="J59" s="929"/>
      <c r="K59" s="929"/>
      <c r="L59" s="154"/>
      <c r="M59" s="252"/>
      <c r="N59" s="149"/>
      <c r="O59" s="292"/>
      <c r="P59" s="293"/>
      <c r="Q59" s="293"/>
      <c r="R59" s="293"/>
      <c r="S59" s="293"/>
      <c r="T59" s="154"/>
      <c r="U59" s="252"/>
    </row>
    <row r="60" spans="1:21" s="285" customFormat="1" ht="19.95" customHeight="1" x14ac:dyDescent="0.2">
      <c r="A60" s="304"/>
      <c r="B60" s="279"/>
      <c r="C60" s="280" t="str">
        <f>IF(VLOOKUP("GEN-LEVEL",Languages!$A:$D,1,TRUE)="GEN-LEVEL",VLOOKUP("GEN-LEVEL",Languages!$A:$D,Summary!$C$7,TRUE),NA())</f>
        <v>Taso</v>
      </c>
      <c r="D60" s="280"/>
      <c r="E60" s="281" t="str">
        <f>IF(VLOOKUP("GEN-PRACTICE",Languages!$A:$D,1,TRUE)="GEN-PRACTICE",VLOOKUP("GEN-PRACTICE",Languages!$A:$D,Summary!$C$7,TRUE),NA())</f>
        <v>Käytäntö</v>
      </c>
      <c r="F60" s="282"/>
      <c r="G60" s="904" t="str">
        <f>IF(VLOOKUP("GEN-ANSWER",Languages!$A:$D,1,TRUE)="GEN-ANSWER",VLOOKUP("GEN-ANSWER",Languages!$A:$D,Summary!$C$7,TRUE),NA())</f>
        <v>Vastaus</v>
      </c>
      <c r="H60" s="905" t="str">
        <f>IF(VLOOKUP("KM112",Languages!$A:$D,1,TRUE)="KM112",VLOOKUP("KM112",Languages!$A:$D,Summary!$C$7,TRUE),NA())</f>
        <v>Kommentit</v>
      </c>
      <c r="I60" s="905" t="str">
        <f>IF(VLOOKUP("KM113",Languages!$A:$D,1,TRUE)="KM113",VLOOKUP("KM113",Languages!$A:$D,Summary!$C$7,TRUE),NA())</f>
        <v>Sisäinen viittaus</v>
      </c>
      <c r="J60" s="905" t="str">
        <f>IF(VLOOKUP("KM114",Languages!$A:$D,1,TRUE)="KM114",VLOOKUP("KM114",Languages!$A:$D,Summary!$C$7,TRUE),NA())</f>
        <v>Ulkoinen viittaus</v>
      </c>
      <c r="K60" s="905" t="str">
        <f>IF(VLOOKUP("KM115",Languages!$A:$D,1,TRUE)="KM115",VLOOKUP("KM115",Languages!$A:$D,Summary!$C$7,TRUE),NA())</f>
        <v>Kehityskohde</v>
      </c>
      <c r="L60" s="283"/>
      <c r="M60" s="284"/>
      <c r="N60" s="279"/>
      <c r="O60" s="463" t="str">
        <f>IF(VLOOKUP("GEN-ANSWER",Languages!$A:$D,1,TRUE)="GEN-ANSWER",VLOOKUP("GEN-ANSWER",Languages!$A:$D,Summary!$C$7,TRUE),NA())</f>
        <v>Vastaus</v>
      </c>
      <c r="P60" s="463" t="str">
        <f>IF(VLOOKUP("KM112",Languages!$A:$D,1,TRUE)="KM112",VLOOKUP("KM112",Languages!$A:$D,Summary!$C$7,TRUE),NA())</f>
        <v>Kommentit</v>
      </c>
      <c r="Q60" s="463" t="str">
        <f>IF(VLOOKUP("KM113",Languages!$A:$D,1,TRUE)="KM113",VLOOKUP("KM113",Languages!$A:$D,Summary!$C$7,TRUE),NA())</f>
        <v>Sisäinen viittaus</v>
      </c>
      <c r="R60" s="463" t="str">
        <f>IF(VLOOKUP("KM114",Languages!$A:$D,1,TRUE)="KM114",VLOOKUP("KM114",Languages!$A:$D,Summary!$C$7,TRUE),NA())</f>
        <v>Ulkoinen viittaus</v>
      </c>
      <c r="S60" s="463" t="str">
        <f>IF(VLOOKUP("KM115",Languages!$A:$D,1,TRUE)="KM115",VLOOKUP("KM115",Languages!$A:$D,Summary!$C$7,TRUE),NA())</f>
        <v>Kehityskohde</v>
      </c>
      <c r="T60" s="283"/>
      <c r="U60" s="284"/>
    </row>
    <row r="61" spans="1:21" s="296" customFormat="1" ht="60" customHeight="1" x14ac:dyDescent="0.25">
      <c r="A61" s="166">
        <v>1</v>
      </c>
      <c r="B61" s="380"/>
      <c r="C61" s="1214">
        <v>1</v>
      </c>
      <c r="D61" s="395" t="s">
        <v>117</v>
      </c>
      <c r="E61" s="467" t="str">
        <f>IF(VLOOKUP(CONCATENATE($C$3,"-",$D61),Languages!$A:$D,1,TRUE)=CONCATENATE($C$3,"-",$D61),VLOOKUP(CONCATENATE($C$3,"-",$D61),Languages!$A:$D,Summary!$C$7,TRUE),NA())</f>
        <v>Organisaatio on kehittänyt toiminnan jatkuvuutta koskevat suunnitelmat, joiden avulla toiminnon toiminta voidaan säilyttää ja palauttaa, mikäli toimintaan kohdistuu kybertapahtuma tai -häiriö. Tasolla 1 tämän ei tarvitse olla systemaattista ja säännöllistä.</v>
      </c>
      <c r="F61" s="386">
        <f t="shared" ref="F61:F76" si="3">IFERROR(INT(LEFT($G61,1)),0)</f>
        <v>0</v>
      </c>
      <c r="G61" s="445" t="s">
        <v>2542</v>
      </c>
      <c r="H61" s="442"/>
      <c r="I61" s="442"/>
      <c r="J61" s="442"/>
      <c r="K61" s="451"/>
      <c r="L61" s="154"/>
      <c r="M61" s="252"/>
      <c r="N61" s="149"/>
      <c r="O61" s="889" t="str">
        <f>VLOOKUP(VLOOKUP($C$3&amp;"-"&amp;$D61,Import!$C:$D,2,FALSE),Parameters!$C$18:$F$22,Summary!$C$7,FALSE)</f>
        <v xml:space="preserve">0 - Vastaus puuttuu </v>
      </c>
      <c r="P61" s="921" t="str">
        <f>IF(VLOOKUP($C$3&amp;"-"&amp;$D61,Import!$C:$H,3,FALSE)=0,"",VLOOKUP($C$3&amp;"-"&amp;$D61,Import!$C:$H,3,FALSE))</f>
        <v/>
      </c>
      <c r="Q61" s="921" t="str">
        <f>IF(VLOOKUP($C$3&amp;"-"&amp;$D61,Import!$C:$H,4,FALSE)=0,"",VLOOKUP($C$3&amp;"-"&amp;$D61,Import!$C:$H,4,FALSE))</f>
        <v/>
      </c>
      <c r="R61" s="921" t="str">
        <f>IF(VLOOKUP($C$3&amp;"-"&amp;$D61,Import!$C:$H,5,FALSE)=0,"",VLOOKUP($C$3&amp;"-"&amp;$D61,Import!$C:$H,5,FALSE))</f>
        <v/>
      </c>
      <c r="S61" s="922" t="str">
        <f>IF(VLOOKUP($C$3&amp;"-"&amp;$D61,Import!$C:$H,6,FALSE)=0,"",VLOOKUP($C$3&amp;"-"&amp;$D61,Import!$C:$H,6,FALSE))</f>
        <v/>
      </c>
      <c r="T61" s="154"/>
      <c r="U61" s="252"/>
    </row>
    <row r="62" spans="1:21" s="296" customFormat="1" ht="34.950000000000003" customHeight="1" x14ac:dyDescent="0.25">
      <c r="A62" s="166">
        <v>1</v>
      </c>
      <c r="B62" s="380"/>
      <c r="C62" s="1232"/>
      <c r="D62" s="294" t="s">
        <v>120</v>
      </c>
      <c r="E62" s="468" t="str">
        <f>IF(VLOOKUP(CONCATENATE($C$3,"-",$D62),Languages!$A:$D,1,TRUE)=CONCATENATE($C$3,"-",$D62),VLOOKUP(CONCATENATE($C$3,"-",$D62),Languages!$A:$D,Summary!$C$7,TRUE),NA())</f>
        <v>Tiedoista on saatavilla varmuuskopiot, joita testaan. Tasolla 1 tämän ei tarvitse olla systemaattista ja säännöllistä.</v>
      </c>
      <c r="F62" s="287">
        <f t="shared" si="3"/>
        <v>0</v>
      </c>
      <c r="G62" s="307" t="s">
        <v>2542</v>
      </c>
      <c r="H62" s="443"/>
      <c r="I62" s="443"/>
      <c r="J62" s="443"/>
      <c r="K62" s="452"/>
      <c r="L62" s="154"/>
      <c r="M62" s="252"/>
      <c r="N62" s="149"/>
      <c r="O62" s="892" t="str">
        <f>VLOOKUP(VLOOKUP($C$3&amp;"-"&amp;$D62,Import!$C:$D,2,FALSE),Parameters!$C$18:$F$22,Summary!$C$7,FALSE)</f>
        <v xml:space="preserve">0 - Vastaus puuttuu </v>
      </c>
      <c r="P62" s="916" t="str">
        <f>IF(VLOOKUP($C$3&amp;"-"&amp;$D62,Import!$C:$H,3,FALSE)=0,"",VLOOKUP($C$3&amp;"-"&amp;$D62,Import!$C:$H,3,FALSE))</f>
        <v/>
      </c>
      <c r="Q62" s="916" t="str">
        <f>IF(VLOOKUP($C$3&amp;"-"&amp;$D62,Import!$C:$H,4,FALSE)=0,"",VLOOKUP($C$3&amp;"-"&amp;$D62,Import!$C:$H,4,FALSE))</f>
        <v/>
      </c>
      <c r="R62" s="916" t="str">
        <f>IF(VLOOKUP($C$3&amp;"-"&amp;$D62,Import!$C:$H,5,FALSE)=0,"",VLOOKUP($C$3&amp;"-"&amp;$D62,Import!$C:$H,5,FALSE))</f>
        <v/>
      </c>
      <c r="S62" s="917" t="str">
        <f>IF(VLOOKUP($C$3&amp;"-"&amp;$D62,Import!$C:$H,6,FALSE)=0,"",VLOOKUP($C$3&amp;"-"&amp;$D62,Import!$C:$H,6,FALSE))</f>
        <v/>
      </c>
      <c r="T62" s="154"/>
      <c r="U62" s="252"/>
    </row>
    <row r="63" spans="1:21" s="296" customFormat="1" ht="50.4" customHeight="1" x14ac:dyDescent="0.25">
      <c r="A63" s="166">
        <v>1</v>
      </c>
      <c r="B63" s="380"/>
      <c r="C63" s="1215"/>
      <c r="D63" s="396" t="s">
        <v>123</v>
      </c>
      <c r="E63" s="474" t="str">
        <f>IF(VLOOKUP(CONCATENATE($C$3,"-",$D63),Languages!$A:$D,1,TRUE)=CONCATENATE($C$3,"-",$D63),VLOOKUP(CONCATENATE($C$3,"-",$D63),Languages!$A:$D,Summary!$C$7,TRUE),NA())</f>
        <v>Varaosia tarvitsevat IT-laitteet (ja mahdolliset OT-laitteet) on tunnistettu. Tasolla 1 tämän ei tarvitse olla systemaattista ja säännöllistä.</v>
      </c>
      <c r="F63" s="393">
        <f t="shared" si="3"/>
        <v>0</v>
      </c>
      <c r="G63" s="449" t="s">
        <v>2542</v>
      </c>
      <c r="H63" s="444"/>
      <c r="I63" s="444"/>
      <c r="J63" s="444"/>
      <c r="K63" s="453"/>
      <c r="L63" s="154"/>
      <c r="M63" s="252"/>
      <c r="N63" s="149"/>
      <c r="O63" s="897" t="str">
        <f>VLOOKUP(VLOOKUP($C$3&amp;"-"&amp;$D63,Import!$C:$D,2,FALSE),Parameters!$C$18:$F$22,Summary!$C$7,FALSE)</f>
        <v xml:space="preserve">0 - Vastaus puuttuu </v>
      </c>
      <c r="P63" s="923" t="str">
        <f>IF(VLOOKUP($C$3&amp;"-"&amp;$D63,Import!$C:$H,3,FALSE)=0,"",VLOOKUP($C$3&amp;"-"&amp;$D63,Import!$C:$H,3,FALSE))</f>
        <v/>
      </c>
      <c r="Q63" s="923" t="str">
        <f>IF(VLOOKUP($C$3&amp;"-"&amp;$D63,Import!$C:$H,4,FALSE)=0,"",VLOOKUP($C$3&amp;"-"&amp;$D63,Import!$C:$H,4,FALSE))</f>
        <v/>
      </c>
      <c r="R63" s="923" t="str">
        <f>IF(VLOOKUP($C$3&amp;"-"&amp;$D63,Import!$C:$H,5,FALSE)=0,"",VLOOKUP($C$3&amp;"-"&amp;$D63,Import!$C:$H,5,FALSE))</f>
        <v/>
      </c>
      <c r="S63" s="924" t="str">
        <f>IF(VLOOKUP($C$3&amp;"-"&amp;$D63,Import!$C:$H,6,FALSE)=0,"",VLOOKUP($C$3&amp;"-"&amp;$D63,Import!$C:$H,6,FALSE))</f>
        <v/>
      </c>
      <c r="T63" s="154"/>
      <c r="U63" s="252"/>
    </row>
    <row r="64" spans="1:21" s="296" customFormat="1" ht="34.950000000000003" customHeight="1" x14ac:dyDescent="0.25">
      <c r="A64" s="166">
        <v>1</v>
      </c>
      <c r="B64" s="380"/>
      <c r="C64" s="1207">
        <v>2</v>
      </c>
      <c r="D64" s="395" t="s">
        <v>126</v>
      </c>
      <c r="E64" s="467" t="str">
        <f>IF(VLOOKUP(CONCATENATE($C$3,"-",$D64),Languages!$A:$D,1,TRUE)=CONCATENATE($C$3,"-",$D64),VLOOKUP(CONCATENATE($C$3,"-",$D64),Languages!$A:$D,Summary!$C$7,TRUE),NA())</f>
        <v>Jatkuvuussuunnitelmat sisältävät arviot mahdollisten kyberhäiriöiden vaikutuksista.</v>
      </c>
      <c r="F64" s="386">
        <f t="shared" si="3"/>
        <v>0</v>
      </c>
      <c r="G64" s="445" t="s">
        <v>2542</v>
      </c>
      <c r="H64" s="442"/>
      <c r="I64" s="442"/>
      <c r="J64" s="442"/>
      <c r="K64" s="451"/>
      <c r="L64" s="154"/>
      <c r="M64" s="252"/>
      <c r="N64" s="149"/>
      <c r="O64" s="889" t="str">
        <f>VLOOKUP(VLOOKUP($C$3&amp;"-"&amp;$D64,Import!$C:$D,2,FALSE),Parameters!$C$18:$F$22,Summary!$C$7,FALSE)</f>
        <v xml:space="preserve">0 - Vastaus puuttuu </v>
      </c>
      <c r="P64" s="921" t="str">
        <f>IF(VLOOKUP($C$3&amp;"-"&amp;$D64,Import!$C:$H,3,FALSE)=0,"",VLOOKUP($C$3&amp;"-"&amp;$D64,Import!$C:$H,3,FALSE))</f>
        <v/>
      </c>
      <c r="Q64" s="921" t="str">
        <f>IF(VLOOKUP($C$3&amp;"-"&amp;$D64,Import!$C:$H,4,FALSE)=0,"",VLOOKUP($C$3&amp;"-"&amp;$D64,Import!$C:$H,4,FALSE))</f>
        <v/>
      </c>
      <c r="R64" s="921" t="str">
        <f>IF(VLOOKUP($C$3&amp;"-"&amp;$D64,Import!$C:$H,5,FALSE)=0,"",VLOOKUP($C$3&amp;"-"&amp;$D64,Import!$C:$H,5,FALSE))</f>
        <v/>
      </c>
      <c r="S64" s="922" t="str">
        <f>IF(VLOOKUP($C$3&amp;"-"&amp;$D64,Import!$C:$H,6,FALSE)=0,"",VLOOKUP($C$3&amp;"-"&amp;$D64,Import!$C:$H,6,FALSE))</f>
        <v/>
      </c>
      <c r="T64" s="154"/>
      <c r="U64" s="252"/>
    </row>
    <row r="65" spans="1:21" s="296" customFormat="1" ht="52.8" customHeight="1" x14ac:dyDescent="0.25">
      <c r="A65" s="166">
        <v>1</v>
      </c>
      <c r="B65" s="380"/>
      <c r="C65" s="1212"/>
      <c r="D65" s="294" t="s">
        <v>129</v>
      </c>
      <c r="E65" s="468" t="str">
        <f>IF(VLOOKUP(CONCATENATE($C$3,"-",$D65),Languages!$A:$D,1,TRUE)=CONCATENATE($C$3,"-",$D65),VLOOKUP(CONCATENATE($C$3,"-",$D65),Languages!$A:$D,Summary!$C$7,TRUE),NA())</f>
        <v>Jatkuvuussuunnitelmissa on tunnistettu ja dokumentoitu ne laitteet, ohjelmistot ja tietovarannot sekä toiminnat, jotka minimissään tarvitaan toiminnon toiminnan ylläpitämiseksi.</v>
      </c>
      <c r="F65" s="287">
        <f t="shared" si="3"/>
        <v>0</v>
      </c>
      <c r="G65" s="307" t="s">
        <v>2542</v>
      </c>
      <c r="H65" s="443"/>
      <c r="I65" s="443"/>
      <c r="J65" s="443"/>
      <c r="K65" s="452"/>
      <c r="L65" s="154"/>
      <c r="M65" s="252"/>
      <c r="N65" s="149"/>
      <c r="O65" s="892" t="str">
        <f>VLOOKUP(VLOOKUP($C$3&amp;"-"&amp;$D65,Import!$C:$D,2,FALSE),Parameters!$C$18:$F$22,Summary!$C$7,FALSE)</f>
        <v xml:space="preserve">0 - Vastaus puuttuu </v>
      </c>
      <c r="P65" s="916" t="str">
        <f>IF(VLOOKUP($C$3&amp;"-"&amp;$D65,Import!$C:$H,3,FALSE)=0,"",VLOOKUP($C$3&amp;"-"&amp;$D65,Import!$C:$H,3,FALSE))</f>
        <v/>
      </c>
      <c r="Q65" s="916" t="str">
        <f>IF(VLOOKUP($C$3&amp;"-"&amp;$D65,Import!$C:$H,4,FALSE)=0,"",VLOOKUP($C$3&amp;"-"&amp;$D65,Import!$C:$H,4,FALSE))</f>
        <v/>
      </c>
      <c r="R65" s="916" t="str">
        <f>IF(VLOOKUP($C$3&amp;"-"&amp;$D65,Import!$C:$H,5,FALSE)=0,"",VLOOKUP($C$3&amp;"-"&amp;$D65,Import!$C:$H,5,FALSE))</f>
        <v/>
      </c>
      <c r="S65" s="917" t="str">
        <f>IF(VLOOKUP($C$3&amp;"-"&amp;$D65,Import!$C:$H,6,FALSE)=0,"",VLOOKUP($C$3&amp;"-"&amp;$D65,Import!$C:$H,6,FALSE))</f>
        <v/>
      </c>
      <c r="T65" s="154"/>
      <c r="U65" s="252"/>
    </row>
    <row r="66" spans="1:21" s="296" customFormat="1" ht="72.599999999999994" customHeight="1" x14ac:dyDescent="0.25">
      <c r="A66" s="166">
        <v>1</v>
      </c>
      <c r="B66" s="380"/>
      <c r="C66" s="1212"/>
      <c r="D66" s="294" t="s">
        <v>131</v>
      </c>
      <c r="E66" s="468" t="str">
        <f>IF(VLOOKUP(CONCATENATE($C$3,"-",$D66),Languages!$A:$D,1,TRUE)=CONCATENATE($C$3,"-",$D66),VLOOKUP(CONCATENATE($C$3,"-",$D66),Languages!$A:$D,Summary!$C$7,TRUE),NA())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66" s="287">
        <f t="shared" si="3"/>
        <v>0</v>
      </c>
      <c r="G66" s="307" t="s">
        <v>2542</v>
      </c>
      <c r="H66" s="443"/>
      <c r="I66" s="443"/>
      <c r="J66" s="443"/>
      <c r="K66" s="452"/>
      <c r="L66" s="154"/>
      <c r="M66" s="252"/>
      <c r="N66" s="149"/>
      <c r="O66" s="892" t="str">
        <f>VLOOKUP(VLOOKUP($C$3&amp;"-"&amp;$D66,Import!$C:$D,2,FALSE),Parameters!$C$18:$F$22,Summary!$C$7,FALSE)</f>
        <v xml:space="preserve">0 - Vastaus puuttuu </v>
      </c>
      <c r="P66" s="916" t="str">
        <f>IF(VLOOKUP($C$3&amp;"-"&amp;$D66,Import!$C:$H,3,FALSE)=0,"",VLOOKUP($C$3&amp;"-"&amp;$D66,Import!$C:$H,3,FALSE))</f>
        <v/>
      </c>
      <c r="Q66" s="916" t="str">
        <f>IF(VLOOKUP($C$3&amp;"-"&amp;$D66,Import!$C:$H,4,FALSE)=0,"",VLOOKUP($C$3&amp;"-"&amp;$D66,Import!$C:$H,4,FALSE))</f>
        <v/>
      </c>
      <c r="R66" s="916" t="str">
        <f>IF(VLOOKUP($C$3&amp;"-"&amp;$D66,Import!$C:$H,5,FALSE)=0,"",VLOOKUP($C$3&amp;"-"&amp;$D66,Import!$C:$H,5,FALSE))</f>
        <v/>
      </c>
      <c r="S66" s="917" t="str">
        <f>IF(VLOOKUP($C$3&amp;"-"&amp;$D66,Import!$C:$H,6,FALSE)=0,"",VLOOKUP($C$3&amp;"-"&amp;$D66,Import!$C:$H,6,FALSE))</f>
        <v/>
      </c>
      <c r="T66" s="154"/>
      <c r="U66" s="252"/>
    </row>
    <row r="67" spans="1:21" s="296" customFormat="1" ht="45" customHeight="1" x14ac:dyDescent="0.25">
      <c r="A67" s="166">
        <v>1</v>
      </c>
      <c r="B67" s="380"/>
      <c r="C67" s="1212"/>
      <c r="D67" s="294" t="s">
        <v>239</v>
      </c>
      <c r="E67" s="468" t="str">
        <f>IF(VLOOKUP(CONCATENATE($C$3,"-",$D67),Languages!$A:$D,1,TRUE)=CONCATENATE($C$3,"-",$D67),VLOOKUP(CONCATENATE($C$3,"-",$D67),Languages!$A:$D,Summary!$C$7,TRUE),NA())</f>
        <v>Jatkuvuussuunnitelmiin kuuluu toipumisajan ("RTO, Recovery Time Objective") ja toipumispisteen ("Recovery Point Objective, RPO") määrittely toiminnon kannalta tärkeille laitteille, ohjelmistoille ja tietovarannoille.</v>
      </c>
      <c r="F67" s="287">
        <f t="shared" si="3"/>
        <v>0</v>
      </c>
      <c r="G67" s="307" t="s">
        <v>2542</v>
      </c>
      <c r="H67" s="443"/>
      <c r="I67" s="443"/>
      <c r="J67" s="443"/>
      <c r="K67" s="452"/>
      <c r="L67" s="154"/>
      <c r="M67" s="252"/>
      <c r="N67" s="149"/>
      <c r="O67" s="892" t="str">
        <f>VLOOKUP(VLOOKUP($C$3&amp;"-"&amp;$D67,Import!$C:$D,2,FALSE),Parameters!$C$18:$F$22,Summary!$C$7,FALSE)</f>
        <v xml:space="preserve">0 - Vastaus puuttuu </v>
      </c>
      <c r="P67" s="916" t="str">
        <f>IF(VLOOKUP($C$3&amp;"-"&amp;$D67,Import!$C:$H,3,FALSE)=0,"",VLOOKUP($C$3&amp;"-"&amp;$D67,Import!$C:$H,3,FALSE))</f>
        <v/>
      </c>
      <c r="Q67" s="916" t="str">
        <f>IF(VLOOKUP($C$3&amp;"-"&amp;$D67,Import!$C:$H,4,FALSE)=0,"",VLOOKUP($C$3&amp;"-"&amp;$D67,Import!$C:$H,4,FALSE))</f>
        <v/>
      </c>
      <c r="R67" s="916" t="str">
        <f>IF(VLOOKUP($C$3&amp;"-"&amp;$D67,Import!$C:$H,5,FALSE)=0,"",VLOOKUP($C$3&amp;"-"&amp;$D67,Import!$C:$H,5,FALSE))</f>
        <v/>
      </c>
      <c r="S67" s="917" t="str">
        <f>IF(VLOOKUP($C$3&amp;"-"&amp;$D67,Import!$C:$H,6,FALSE)=0,"",VLOOKUP($C$3&amp;"-"&amp;$D67,Import!$C:$H,6,FALSE))</f>
        <v/>
      </c>
      <c r="T67" s="154"/>
      <c r="U67" s="252"/>
    </row>
    <row r="68" spans="1:21" s="296" customFormat="1" ht="34.950000000000003" customHeight="1" x14ac:dyDescent="0.25">
      <c r="A68" s="166">
        <v>1</v>
      </c>
      <c r="B68" s="380"/>
      <c r="C68" s="1212"/>
      <c r="D68" s="294" t="s">
        <v>327</v>
      </c>
      <c r="E68" s="468" t="str">
        <f>IF(VLOOKUP(CONCATENATE($C$3,"-",$D68),Languages!$A:$D,1,TRUE)=CONCATENATE($C$3,"-",$D68),VLOOKUP(CONCATENATE($C$3,"-",$D68),Languages!$A:$D,Summary!$C$7,TRUE),NA())</f>
        <v>Jatkuvuussuunnitelman käyttöönottamisen kriteerit kyberhäiriötilanteissa on määritetty ja viestitty häiriöiden käsittelystä ja valmiussuunnitelmista vastuussa oleville työntekijöille.</v>
      </c>
      <c r="F68" s="287">
        <f t="shared" si="3"/>
        <v>0</v>
      </c>
      <c r="G68" s="307" t="s">
        <v>2542</v>
      </c>
      <c r="H68" s="443"/>
      <c r="I68" s="443"/>
      <c r="J68" s="443"/>
      <c r="K68" s="452"/>
      <c r="L68" s="154"/>
      <c r="M68" s="252"/>
      <c r="N68" s="149"/>
      <c r="O68" s="892" t="str">
        <f>VLOOKUP(VLOOKUP($C$3&amp;"-"&amp;$D68,Import!$C:$D,2,FALSE),Parameters!$C$18:$F$22,Summary!$C$7,FALSE)</f>
        <v xml:space="preserve">0 - Vastaus puuttuu </v>
      </c>
      <c r="P68" s="916" t="str">
        <f>IF(VLOOKUP($C$3&amp;"-"&amp;$D68,Import!$C:$H,3,FALSE)=0,"",VLOOKUP($C$3&amp;"-"&amp;$D68,Import!$C:$H,3,FALSE))</f>
        <v/>
      </c>
      <c r="Q68" s="916" t="str">
        <f>IF(VLOOKUP($C$3&amp;"-"&amp;$D68,Import!$C:$H,4,FALSE)=0,"",VLOOKUP($C$3&amp;"-"&amp;$D68,Import!$C:$H,4,FALSE))</f>
        <v/>
      </c>
      <c r="R68" s="916" t="str">
        <f>IF(VLOOKUP($C$3&amp;"-"&amp;$D68,Import!$C:$H,5,FALSE)=0,"",VLOOKUP($C$3&amp;"-"&amp;$D68,Import!$C:$H,5,FALSE))</f>
        <v/>
      </c>
      <c r="S68" s="917" t="str">
        <f>IF(VLOOKUP($C$3&amp;"-"&amp;$D68,Import!$C:$H,6,FALSE)=0,"",VLOOKUP($C$3&amp;"-"&amp;$D68,Import!$C:$H,6,FALSE))</f>
        <v/>
      </c>
      <c r="T68" s="154"/>
      <c r="U68" s="252"/>
    </row>
    <row r="69" spans="1:21" s="296" customFormat="1" ht="34.950000000000003" customHeight="1" x14ac:dyDescent="0.25">
      <c r="A69" s="166">
        <v>1</v>
      </c>
      <c r="B69" s="380"/>
      <c r="C69" s="1212"/>
      <c r="D69" s="294" t="s">
        <v>328</v>
      </c>
      <c r="E69" s="468" t="str">
        <f>IF(VLOOKUP(CONCATENATE($C$3,"-",$D69),Languages!$A:$D,1,TRUE)=CONCATENATE($C$3,"-",$D69),VLOOKUP(CONCATENATE($C$3,"-",$D69),Languages!$A:$D,Summary!$C$7,TRUE),NA())</f>
        <v>Jatkuvuussuunnitelmat testataan arvioimalla ja/tai harjoittelemalla aika ajoin ja määriteltyjen tilanteiden kuten järjestelmämuutosten tai ulkoisten tapahtumien yhteydessä.</v>
      </c>
      <c r="F69" s="287">
        <f t="shared" si="3"/>
        <v>0</v>
      </c>
      <c r="G69" s="307" t="s">
        <v>2542</v>
      </c>
      <c r="H69" s="443"/>
      <c r="I69" s="443"/>
      <c r="J69" s="443"/>
      <c r="K69" s="452"/>
      <c r="L69" s="154"/>
      <c r="M69" s="252"/>
      <c r="N69" s="149"/>
      <c r="O69" s="892" t="str">
        <f>VLOOKUP(VLOOKUP($C$3&amp;"-"&amp;$D69,Import!$C:$D,2,FALSE),Parameters!$C$18:$F$22,Summary!$C$7,FALSE)</f>
        <v xml:space="preserve">0 - Vastaus puuttuu </v>
      </c>
      <c r="P69" s="916" t="str">
        <f>IF(VLOOKUP($C$3&amp;"-"&amp;$D69,Import!$C:$H,3,FALSE)=0,"",VLOOKUP($C$3&amp;"-"&amp;$D69,Import!$C:$H,3,FALSE))</f>
        <v/>
      </c>
      <c r="Q69" s="916" t="str">
        <f>IF(VLOOKUP($C$3&amp;"-"&amp;$D69,Import!$C:$H,4,FALSE)=0,"",VLOOKUP($C$3&amp;"-"&amp;$D69,Import!$C:$H,4,FALSE))</f>
        <v/>
      </c>
      <c r="R69" s="916" t="str">
        <f>IF(VLOOKUP($C$3&amp;"-"&amp;$D69,Import!$C:$H,5,FALSE)=0,"",VLOOKUP($C$3&amp;"-"&amp;$D69,Import!$C:$H,5,FALSE))</f>
        <v/>
      </c>
      <c r="S69" s="917" t="str">
        <f>IF(VLOOKUP($C$3&amp;"-"&amp;$D69,Import!$C:$H,6,FALSE)=0,"",VLOOKUP($C$3&amp;"-"&amp;$D69,Import!$C:$H,6,FALSE))</f>
        <v/>
      </c>
      <c r="T69" s="154"/>
      <c r="U69" s="252"/>
    </row>
    <row r="70" spans="1:21" s="296" customFormat="1" ht="34.950000000000003" customHeight="1" x14ac:dyDescent="0.25">
      <c r="A70" s="166">
        <v>1</v>
      </c>
      <c r="B70" s="380"/>
      <c r="C70" s="1212"/>
      <c r="D70" s="294" t="s">
        <v>1018</v>
      </c>
      <c r="E70" s="468" t="str">
        <f>IF(VLOOKUP(CONCATENATE($C$3,"-",$D70),Languages!$A:$D,1,TRUE)=CONCATENATE($C$3,"-",$D70),VLOOKUP(CONCATENATE($C$3,"-",$D70),Languages!$A:$D,Summary!$C$7,TRUE),NA())</f>
        <v xml:space="preserve"> Varmuuskopiota suojaavat kyberturvallisuus kontrollit / hallintakeinot ovat yhtä hyvät tai perusteellisemmat kuin kontrollit, jotka suojaavat varmuuskopioitavaa tietoa.</v>
      </c>
      <c r="F70" s="287">
        <f t="shared" si="3"/>
        <v>0</v>
      </c>
      <c r="G70" s="307" t="s">
        <v>2542</v>
      </c>
      <c r="H70" s="443"/>
      <c r="I70" s="443"/>
      <c r="J70" s="443"/>
      <c r="K70" s="452"/>
      <c r="L70" s="154"/>
      <c r="M70" s="252"/>
      <c r="N70" s="149"/>
      <c r="O70" s="892" t="str">
        <f>VLOOKUP(VLOOKUP($C$3&amp;"-"&amp;$D70,Import!$C:$D,2,FALSE),Parameters!$C$18:$F$22,Summary!$C$7,FALSE)</f>
        <v xml:space="preserve">0 - Vastaus puuttuu </v>
      </c>
      <c r="P70" s="916" t="str">
        <f>IF(VLOOKUP($C$3&amp;"-"&amp;$D70,Import!$C:$H,3,FALSE)=0,"",VLOOKUP($C$3&amp;"-"&amp;$D70,Import!$C:$H,3,FALSE))</f>
        <v/>
      </c>
      <c r="Q70" s="916" t="str">
        <f>IF(VLOOKUP($C$3&amp;"-"&amp;$D70,Import!$C:$H,4,FALSE)=0,"",VLOOKUP($C$3&amp;"-"&amp;$D70,Import!$C:$H,4,FALSE))</f>
        <v/>
      </c>
      <c r="R70" s="916" t="str">
        <f>IF(VLOOKUP($C$3&amp;"-"&amp;$D70,Import!$C:$H,5,FALSE)=0,"",VLOOKUP($C$3&amp;"-"&amp;$D70,Import!$C:$H,5,FALSE))</f>
        <v/>
      </c>
      <c r="S70" s="917" t="str">
        <f>IF(VLOOKUP($C$3&amp;"-"&amp;$D70,Import!$C:$H,6,FALSE)=0,"",VLOOKUP($C$3&amp;"-"&amp;$D70,Import!$C:$H,6,FALSE))</f>
        <v/>
      </c>
      <c r="T70" s="154"/>
      <c r="U70" s="252"/>
    </row>
    <row r="71" spans="1:21" s="296" customFormat="1" ht="64.2" customHeight="1" x14ac:dyDescent="0.25">
      <c r="A71" s="166">
        <v>1</v>
      </c>
      <c r="B71" s="380"/>
      <c r="C71" s="1212"/>
      <c r="D71" s="294" t="s">
        <v>1019</v>
      </c>
      <c r="E71" s="468" t="str">
        <f>IF(VLOOKUP(CONCATENATE($C$3,"-",$D71),Languages!$A:$D,1,TRUE)=CONCATENATE($C$3,"-",$D71),VLOOKUP(CONCATENATE($C$3,"-",$D71),Languages!$A:$D,Summary!$C$7,TRUE),NA())</f>
        <v>Varmuuskopiot on erotettu sekä loogisesti että fyysisesti varmuuskopioidusta tiedosta.</v>
      </c>
      <c r="F71" s="287">
        <f t="shared" si="3"/>
        <v>0</v>
      </c>
      <c r="G71" s="307" t="s">
        <v>2542</v>
      </c>
      <c r="H71" s="443"/>
      <c r="I71" s="443"/>
      <c r="J71" s="443"/>
      <c r="K71" s="452"/>
      <c r="L71" s="154"/>
      <c r="M71" s="252"/>
      <c r="N71" s="149"/>
      <c r="O71" s="892" t="str">
        <f>VLOOKUP(VLOOKUP($C$3&amp;"-"&amp;$D71,Import!$C:$D,2,FALSE),Parameters!$C$18:$F$22,Summary!$C$7,FALSE)</f>
        <v xml:space="preserve">0 - Vastaus puuttuu </v>
      </c>
      <c r="P71" s="916" t="str">
        <f>IF(VLOOKUP($C$3&amp;"-"&amp;$D71,Import!$C:$H,3,FALSE)=0,"",VLOOKUP($C$3&amp;"-"&amp;$D71,Import!$C:$H,3,FALSE))</f>
        <v/>
      </c>
      <c r="Q71" s="916" t="str">
        <f>IF(VLOOKUP($C$3&amp;"-"&amp;$D71,Import!$C:$H,4,FALSE)=0,"",VLOOKUP($C$3&amp;"-"&amp;$D71,Import!$C:$H,4,FALSE))</f>
        <v/>
      </c>
      <c r="R71" s="916" t="str">
        <f>IF(VLOOKUP($C$3&amp;"-"&amp;$D71,Import!$C:$H,5,FALSE)=0,"",VLOOKUP($C$3&amp;"-"&amp;$D71,Import!$C:$H,5,FALSE))</f>
        <v/>
      </c>
      <c r="S71" s="917" t="str">
        <f>IF(VLOOKUP($C$3&amp;"-"&amp;$D71,Import!$C:$H,6,FALSE)=0,"",VLOOKUP($C$3&amp;"-"&amp;$D71,Import!$C:$H,6,FALSE))</f>
        <v/>
      </c>
      <c r="T71" s="154"/>
      <c r="U71" s="252"/>
    </row>
    <row r="72" spans="1:21" s="296" customFormat="1" ht="61.8" customHeight="1" x14ac:dyDescent="0.25">
      <c r="A72" s="166">
        <v>1</v>
      </c>
      <c r="B72" s="380"/>
      <c r="C72" s="1208"/>
      <c r="D72" s="396" t="s">
        <v>1020</v>
      </c>
      <c r="E72" s="474" t="str">
        <f>IF(VLOOKUP(CONCATENATE($C$3,"-",$D72),Languages!$A:$D,1,TRUE)=CONCATENATE($C$3,"-",$D72),VLOOKUP(CONCATENATE($C$3,"-",$D72),Languages!$A:$D,Summary!$C$7,TRUE),NA())</f>
        <v>Varaosia on saatavilla niitä tarvitseviin IT-laitteisiin (ja mahdollisiin OT-laitteisiin).</v>
      </c>
      <c r="F72" s="393">
        <f t="shared" si="3"/>
        <v>0</v>
      </c>
      <c r="G72" s="449" t="s">
        <v>2542</v>
      </c>
      <c r="H72" s="444"/>
      <c r="I72" s="444"/>
      <c r="J72" s="444"/>
      <c r="K72" s="453"/>
      <c r="L72" s="154"/>
      <c r="M72" s="252"/>
      <c r="N72" s="149"/>
      <c r="O72" s="897" t="str">
        <f>VLOOKUP(VLOOKUP($C$3&amp;"-"&amp;$D72,Import!$C:$D,2,FALSE),Parameters!$C$18:$F$22,Summary!$C$7,FALSE)</f>
        <v xml:space="preserve">0 - Vastaus puuttuu </v>
      </c>
      <c r="P72" s="923" t="str">
        <f>IF(VLOOKUP($C$3&amp;"-"&amp;$D72,Import!$C:$H,3,FALSE)=0,"",VLOOKUP($C$3&amp;"-"&amp;$D72,Import!$C:$H,3,FALSE))</f>
        <v/>
      </c>
      <c r="Q72" s="923" t="str">
        <f>IF(VLOOKUP($C$3&amp;"-"&amp;$D72,Import!$C:$H,4,FALSE)=0,"",VLOOKUP($C$3&amp;"-"&amp;$D72,Import!$C:$H,4,FALSE))</f>
        <v/>
      </c>
      <c r="R72" s="923" t="str">
        <f>IF(VLOOKUP($C$3&amp;"-"&amp;$D72,Import!$C:$H,5,FALSE)=0,"",VLOOKUP($C$3&amp;"-"&amp;$D72,Import!$C:$H,5,FALSE))</f>
        <v/>
      </c>
      <c r="S72" s="924" t="str">
        <f>IF(VLOOKUP($C$3&amp;"-"&amp;$D72,Import!$C:$H,6,FALSE)=0,"",VLOOKUP($C$3&amp;"-"&amp;$D72,Import!$C:$H,6,FALSE))</f>
        <v/>
      </c>
      <c r="T72" s="154"/>
      <c r="U72" s="252"/>
    </row>
    <row r="73" spans="1:21" s="296" customFormat="1" ht="52.8" customHeight="1" x14ac:dyDescent="0.25">
      <c r="A73" s="166">
        <v>1</v>
      </c>
      <c r="B73" s="380"/>
      <c r="C73" s="1209">
        <v>3</v>
      </c>
      <c r="D73" s="395" t="s">
        <v>1021</v>
      </c>
      <c r="E73" s="467" t="str">
        <f>IF(VLOOKUP(CONCATENATE($C$3,"-",$D73),Languages!$A:$D,1,TRUE)=CONCATENATE($C$3,"-",$D73),VLOOKUP(CONCATENATE($C$3,"-",$D73),Languages!$A:$D,Summary!$C$7,TRUE),NA())</f>
        <v>Jatkuvuussuunnitelmissa on huomioitu tunnistetut riskit ja organisaation uhkaprofiili [kts. THREAT-2e], jotta katetaan tunnistetut riskikategoriat ja uhat.</v>
      </c>
      <c r="F73" s="386">
        <f t="shared" si="3"/>
        <v>0</v>
      </c>
      <c r="G73" s="445" t="s">
        <v>2542</v>
      </c>
      <c r="H73" s="442"/>
      <c r="I73" s="442"/>
      <c r="J73" s="442"/>
      <c r="K73" s="451"/>
      <c r="L73" s="154"/>
      <c r="M73" s="252"/>
      <c r="N73" s="149"/>
      <c r="O73" s="889" t="str">
        <f>VLOOKUP(VLOOKUP($C$3&amp;"-"&amp;$D73,Import!$C:$D,2,FALSE),Parameters!$C$18:$F$22,Summary!$C$7,FALSE)</f>
        <v xml:space="preserve">0 - Vastaus puuttuu </v>
      </c>
      <c r="P73" s="921" t="str">
        <f>IF(VLOOKUP($C$3&amp;"-"&amp;$D73,Import!$C:$H,3,FALSE)=0,"",VLOOKUP($C$3&amp;"-"&amp;$D73,Import!$C:$H,3,FALSE))</f>
        <v/>
      </c>
      <c r="Q73" s="921" t="str">
        <f>IF(VLOOKUP($C$3&amp;"-"&amp;$D73,Import!$C:$H,4,FALSE)=0,"",VLOOKUP($C$3&amp;"-"&amp;$D73,Import!$C:$H,4,FALSE))</f>
        <v/>
      </c>
      <c r="R73" s="921" t="str">
        <f>IF(VLOOKUP($C$3&amp;"-"&amp;$D73,Import!$C:$H,5,FALSE)=0,"",VLOOKUP($C$3&amp;"-"&amp;$D73,Import!$C:$H,5,FALSE))</f>
        <v/>
      </c>
      <c r="S73" s="922" t="str">
        <f>IF(VLOOKUP($C$3&amp;"-"&amp;$D73,Import!$C:$H,6,FALSE)=0,"",VLOOKUP($C$3&amp;"-"&amp;$D73,Import!$C:$H,6,FALSE))</f>
        <v/>
      </c>
      <c r="T73" s="154"/>
      <c r="U73" s="252"/>
    </row>
    <row r="74" spans="1:21" s="296" customFormat="1" ht="34.950000000000003" customHeight="1" x14ac:dyDescent="0.2">
      <c r="A74" s="305"/>
      <c r="B74" s="380"/>
      <c r="C74" s="1210"/>
      <c r="D74" s="294" t="s">
        <v>1022</v>
      </c>
      <c r="E74" s="468" t="str">
        <f>IF(VLOOKUP(CONCATENATE($C$3,"-",$D74),Languages!$A:$D,1,TRUE)=CONCATENATE($C$3,"-",$D74),VLOOKUP(CONCATENATE($C$3,"-",$D74),Languages!$A:$D,Summary!$C$7,TRUE),NA())</f>
        <v>Jatkuvuusharjoituksiin sisältyy korkean prioriteetin riskeihin varautuminen.</v>
      </c>
      <c r="F74" s="287">
        <f t="shared" si="3"/>
        <v>0</v>
      </c>
      <c r="G74" s="307" t="s">
        <v>2542</v>
      </c>
      <c r="H74" s="443"/>
      <c r="I74" s="443"/>
      <c r="J74" s="443"/>
      <c r="K74" s="452"/>
      <c r="L74" s="154"/>
      <c r="M74" s="252"/>
      <c r="N74" s="149"/>
      <c r="O74" s="892" t="str">
        <f>VLOOKUP(VLOOKUP($C$3&amp;"-"&amp;$D74,Import!$C:$D,2,FALSE),Parameters!$C$18:$F$22,Summary!$C$7,FALSE)</f>
        <v xml:space="preserve">0 - Vastaus puuttuu </v>
      </c>
      <c r="P74" s="916" t="str">
        <f>IF(VLOOKUP($C$3&amp;"-"&amp;$D74,Import!$C:$H,3,FALSE)=0,"",VLOOKUP($C$3&amp;"-"&amp;$D74,Import!$C:$H,3,FALSE))</f>
        <v/>
      </c>
      <c r="Q74" s="916" t="str">
        <f>IF(VLOOKUP($C$3&amp;"-"&amp;$D74,Import!$C:$H,4,FALSE)=0,"",VLOOKUP($C$3&amp;"-"&amp;$D74,Import!$C:$H,4,FALSE))</f>
        <v/>
      </c>
      <c r="R74" s="916" t="str">
        <f>IF(VLOOKUP($C$3&amp;"-"&amp;$D74,Import!$C:$H,5,FALSE)=0,"",VLOOKUP($C$3&amp;"-"&amp;$D74,Import!$C:$H,5,FALSE))</f>
        <v/>
      </c>
      <c r="S74" s="917" t="str">
        <f>IF(VLOOKUP($C$3&amp;"-"&amp;$D74,Import!$C:$H,6,FALSE)=0,"",VLOOKUP($C$3&amp;"-"&amp;$D74,Import!$C:$H,6,FALSE))</f>
        <v/>
      </c>
      <c r="T74" s="154"/>
      <c r="U74" s="252"/>
    </row>
    <row r="75" spans="1:21" s="296" customFormat="1" ht="49.2" customHeight="1" x14ac:dyDescent="0.2">
      <c r="A75" s="305"/>
      <c r="B75" s="380"/>
      <c r="C75" s="1210"/>
      <c r="D75" s="294" t="s">
        <v>1023</v>
      </c>
      <c r="E75" s="468" t="str">
        <f>IF(VLOOKUP(CONCATENATE($C$3,"-",$D75),Languages!$A:$D,1,TRUE)=CONCATENATE($C$3,"-",$D75),VLOOKUP(CONCATENATE($C$3,"-",$D75),Languages!$A:$D,Summary!$C$7,TRUE),NA())</f>
        <v>Jatkuvuussuunnitelmien testauksesta tai tositilanteista saatuja havaintoja verrataan asetettuihin toipumistavoitteisiin ja suunnitelmia kehitetään näiden havaintojen perusteella.</v>
      </c>
      <c r="F75" s="287">
        <f t="shared" si="3"/>
        <v>0</v>
      </c>
      <c r="G75" s="307" t="s">
        <v>2542</v>
      </c>
      <c r="H75" s="443"/>
      <c r="I75" s="443"/>
      <c r="J75" s="443"/>
      <c r="K75" s="452"/>
      <c r="L75" s="154"/>
      <c r="M75" s="252"/>
      <c r="N75" s="149"/>
      <c r="O75" s="892" t="str">
        <f>VLOOKUP(VLOOKUP($C$3&amp;"-"&amp;$D75,Import!$C:$D,2,FALSE),Parameters!$C$18:$F$22,Summary!$C$7,FALSE)</f>
        <v xml:space="preserve">0 - Vastaus puuttuu </v>
      </c>
      <c r="P75" s="916" t="str">
        <f>IF(VLOOKUP($C$3&amp;"-"&amp;$D75,Import!$C:$H,3,FALSE)=0,"",VLOOKUP($C$3&amp;"-"&amp;$D75,Import!$C:$H,3,FALSE))</f>
        <v/>
      </c>
      <c r="Q75" s="916" t="str">
        <f>IF(VLOOKUP($C$3&amp;"-"&amp;$D75,Import!$C:$H,4,FALSE)=0,"",VLOOKUP($C$3&amp;"-"&amp;$D75,Import!$C:$H,4,FALSE))</f>
        <v/>
      </c>
      <c r="R75" s="916" t="str">
        <f>IF(VLOOKUP($C$3&amp;"-"&amp;$D75,Import!$C:$H,5,FALSE)=0,"",VLOOKUP($C$3&amp;"-"&amp;$D75,Import!$C:$H,5,FALSE))</f>
        <v/>
      </c>
      <c r="S75" s="917" t="str">
        <f>IF(VLOOKUP($C$3&amp;"-"&amp;$D75,Import!$C:$H,6,FALSE)=0,"",VLOOKUP($C$3&amp;"-"&amp;$D75,Import!$C:$H,6,FALSE))</f>
        <v/>
      </c>
      <c r="T75" s="154"/>
      <c r="U75" s="252"/>
    </row>
    <row r="76" spans="1:21" s="296" customFormat="1" ht="34.950000000000003" customHeight="1" x14ac:dyDescent="0.2">
      <c r="A76" s="305"/>
      <c r="B76" s="380"/>
      <c r="C76" s="1211"/>
      <c r="D76" s="396" t="s">
        <v>1024</v>
      </c>
      <c r="E76" s="474" t="str">
        <f>IF(VLOOKUP(CONCATENATE($C$3,"-",$D76),Languages!$A:$D,1,TRUE)=CONCATENATE($C$3,"-",$D76),VLOOKUP(CONCATENATE($C$3,"-",$D76),Languages!$A:$D,Summary!$C$7,TRUE),NA())</f>
        <v>Jatkuvuussuunnitelmien sisältö tarkastetaan ja päivitetään määräajoin.</v>
      </c>
      <c r="F76" s="393">
        <f t="shared" si="3"/>
        <v>0</v>
      </c>
      <c r="G76" s="449" t="s">
        <v>2542</v>
      </c>
      <c r="H76" s="444"/>
      <c r="I76" s="444"/>
      <c r="J76" s="444"/>
      <c r="K76" s="453"/>
      <c r="L76" s="154"/>
      <c r="M76" s="252"/>
      <c r="N76" s="149"/>
      <c r="O76" s="897" t="str">
        <f>VLOOKUP(VLOOKUP($C$3&amp;"-"&amp;$D76,Import!$C:$D,2,FALSE),Parameters!$C$18:$F$22,Summary!$C$7,FALSE)</f>
        <v xml:space="preserve">0 - Vastaus puuttuu </v>
      </c>
      <c r="P76" s="923" t="str">
        <f>IF(VLOOKUP($C$3&amp;"-"&amp;$D76,Import!$C:$H,3,FALSE)=0,"",VLOOKUP($C$3&amp;"-"&amp;$D76,Import!$C:$H,3,FALSE))</f>
        <v/>
      </c>
      <c r="Q76" s="923" t="str">
        <f>IF(VLOOKUP($C$3&amp;"-"&amp;$D76,Import!$C:$H,4,FALSE)=0,"",VLOOKUP($C$3&amp;"-"&amp;$D76,Import!$C:$H,4,FALSE))</f>
        <v/>
      </c>
      <c r="R76" s="923" t="str">
        <f>IF(VLOOKUP($C$3&amp;"-"&amp;$D76,Import!$C:$H,5,FALSE)=0,"",VLOOKUP($C$3&amp;"-"&amp;$D76,Import!$C:$H,5,FALSE))</f>
        <v/>
      </c>
      <c r="S76" s="924" t="str">
        <f>IF(VLOOKUP($C$3&amp;"-"&amp;$D76,Import!$C:$H,6,FALSE)=0,"",VLOOKUP($C$3&amp;"-"&amp;$D76,Import!$C:$H,6,FALSE))</f>
        <v/>
      </c>
      <c r="T76" s="154"/>
      <c r="U76" s="252"/>
    </row>
    <row r="77" spans="1:21" s="177" customFormat="1" ht="30" customHeight="1" x14ac:dyDescent="0.25">
      <c r="A77" s="166"/>
      <c r="B77" s="269"/>
      <c r="C77" s="170">
        <v>5</v>
      </c>
      <c r="D77" s="170" t="str">
        <f>IF(VLOOKUP(CONCATENATE($C$3,"-",C77),Languages!$A:$D,1,TRUE)=CONCATENATE($C$3,"-",C77),VLOOKUP(CONCATENATE($C$3,"-",C77),Languages!$A:$D,Summary!$C$7,TRUE),NA())</f>
        <v>Yleisiä hallintatoimia</v>
      </c>
      <c r="E77" s="170"/>
      <c r="F77" s="292"/>
      <c r="G77" s="907"/>
      <c r="H77" s="929"/>
      <c r="I77" s="929"/>
      <c r="J77" s="929"/>
      <c r="K77" s="929"/>
      <c r="L77" s="154"/>
      <c r="M77" s="252"/>
      <c r="N77" s="149"/>
      <c r="O77" s="292"/>
      <c r="P77" s="293"/>
      <c r="Q77" s="293"/>
      <c r="R77" s="293"/>
      <c r="S77" s="293"/>
      <c r="T77" s="154"/>
      <c r="U77" s="252"/>
    </row>
    <row r="78" spans="1:21" s="285" customFormat="1" ht="19.95" customHeight="1" x14ac:dyDescent="0.2">
      <c r="A78" s="304"/>
      <c r="B78" s="279"/>
      <c r="C78" s="280" t="str">
        <f>IF(VLOOKUP("GEN-LEVEL",Languages!$A:$D,1,TRUE)="GEN-LEVEL",VLOOKUP("GEN-LEVEL",Languages!$A:$D,Summary!$C$7,TRUE),NA())</f>
        <v>Taso</v>
      </c>
      <c r="D78" s="280"/>
      <c r="E78" s="281" t="str">
        <f>IF(VLOOKUP("GEN-PRACTICE",Languages!$A:$D,1,TRUE)="GEN-PRACTICE",VLOOKUP("GEN-PRACTICE",Languages!$A:$D,Summary!$C$7,TRUE),NA())</f>
        <v>Käytäntö</v>
      </c>
      <c r="F78" s="282"/>
      <c r="G78" s="904" t="str">
        <f>IF(VLOOKUP("GEN-ANSWER",Languages!$A:$D,1,TRUE)="GEN-ANSWER",VLOOKUP("GEN-ANSWER",Languages!$A:$D,Summary!$C$7,TRUE),NA())</f>
        <v>Vastaus</v>
      </c>
      <c r="H78" s="905" t="str">
        <f>IF(VLOOKUP("KM112",Languages!$A:$D,1,TRUE)="KM112",VLOOKUP("KM112",Languages!$A:$D,Summary!$C$7,TRUE),NA())</f>
        <v>Kommentit</v>
      </c>
      <c r="I78" s="905" t="str">
        <f>IF(VLOOKUP("KM113",Languages!$A:$D,1,TRUE)="KM113",VLOOKUP("KM113",Languages!$A:$D,Summary!$C$7,TRUE),NA())</f>
        <v>Sisäinen viittaus</v>
      </c>
      <c r="J78" s="905" t="str">
        <f>IF(VLOOKUP("KM114",Languages!$A:$D,1,TRUE)="KM114",VLOOKUP("KM114",Languages!$A:$D,Summary!$C$7,TRUE),NA())</f>
        <v>Ulkoinen viittaus</v>
      </c>
      <c r="K78" s="905" t="str">
        <f>IF(VLOOKUP("KM115",Languages!$A:$D,1,TRUE)="KM115",VLOOKUP("KM115",Languages!$A:$D,Summary!$C$7,TRUE),NA())</f>
        <v>Kehityskohde</v>
      </c>
      <c r="L78" s="283"/>
      <c r="M78" s="284"/>
      <c r="N78" s="279"/>
      <c r="O78" s="463" t="str">
        <f>IF(VLOOKUP("GEN-ANSWER",Languages!$A:$D,1,TRUE)="GEN-ANSWER",VLOOKUP("GEN-ANSWER",Languages!$A:$D,Summary!$C$7,TRUE),NA())</f>
        <v>Vastaus</v>
      </c>
      <c r="P78" s="463" t="str">
        <f>IF(VLOOKUP("KM112",Languages!$A:$D,1,TRUE)="KM112",VLOOKUP("KM112",Languages!$A:$D,Summary!$C$7,TRUE),NA())</f>
        <v>Kommentit</v>
      </c>
      <c r="Q78" s="463" t="str">
        <f>IF(VLOOKUP("KM113",Languages!$A:$D,1,TRUE)="KM113",VLOOKUP("KM113",Languages!$A:$D,Summary!$C$7,TRUE),NA())</f>
        <v>Sisäinen viittaus</v>
      </c>
      <c r="R78" s="463" t="str">
        <f>IF(VLOOKUP("KM114",Languages!$A:$D,1,TRUE)="KM114",VLOOKUP("KM114",Languages!$A:$D,Summary!$C$7,TRUE),NA())</f>
        <v>Ulkoinen viittaus</v>
      </c>
      <c r="S78" s="463" t="str">
        <f>IF(VLOOKUP("KM115",Languages!$A:$D,1,TRUE)="KM115",VLOOKUP("KM115",Languages!$A:$D,Summary!$C$7,TRUE),NA())</f>
        <v>Kehityskohde</v>
      </c>
      <c r="T78" s="283"/>
      <c r="U78" s="284"/>
    </row>
    <row r="79" spans="1:21" s="311" customFormat="1" ht="19.95" customHeight="1" x14ac:dyDescent="0.2">
      <c r="A79" s="284"/>
      <c r="B79" s="279"/>
      <c r="C79" s="457">
        <v>1</v>
      </c>
      <c r="D79" s="401"/>
      <c r="E79" s="402"/>
      <c r="F79" s="404"/>
      <c r="G79" s="908"/>
      <c r="H79" s="909"/>
      <c r="I79" s="909"/>
      <c r="J79" s="909"/>
      <c r="K79" s="910"/>
      <c r="L79" s="154"/>
      <c r="M79" s="252"/>
      <c r="N79" s="149"/>
      <c r="O79" s="517"/>
      <c r="P79" s="403"/>
      <c r="Q79" s="403"/>
      <c r="R79" s="403"/>
      <c r="S79" s="405"/>
      <c r="T79" s="154"/>
      <c r="U79" s="252"/>
    </row>
    <row r="80" spans="1:21" s="296" customFormat="1" ht="34.950000000000003" customHeight="1" x14ac:dyDescent="0.2">
      <c r="A80" s="305"/>
      <c r="B80" s="1199"/>
      <c r="C80" s="1207">
        <v>2</v>
      </c>
      <c r="D80" s="395" t="s">
        <v>134</v>
      </c>
      <c r="E80" s="467" t="str">
        <f>IF(VLOOKUP(CONCATENATE($C$3,"-",$D80),Languages!$A:$D,1,TRUE)=CONCATENATE($C$3,"-",$D80),VLOOKUP(CONCATENATE($C$3,"-",$D80),Languages!$A:$D,Summary!$C$7,TRUE),NA())</f>
        <v>RESPONSE-osion toimintaa varten on määritetty dokumentoidut toimintatavat, joita noudatetaan ja päivitetään säännöllisesti.</v>
      </c>
      <c r="F80" s="386">
        <f t="shared" ref="F80:F85" si="4">IFERROR(INT(LEFT($G80,1)),0)</f>
        <v>0</v>
      </c>
      <c r="G80" s="445" t="s">
        <v>2542</v>
      </c>
      <c r="H80" s="442"/>
      <c r="I80" s="442"/>
      <c r="J80" s="442"/>
      <c r="K80" s="451"/>
      <c r="L80" s="154"/>
      <c r="M80" s="252"/>
      <c r="N80" s="149"/>
      <c r="O80" s="889" t="str">
        <f>VLOOKUP(VLOOKUP($C$3&amp;"-"&amp;$D80,Import!$C:$D,2,FALSE),Parameters!$C$18:$F$22,Summary!$C$7,FALSE)</f>
        <v xml:space="preserve">0 - Vastaus puuttuu </v>
      </c>
      <c r="P80" s="921" t="str">
        <f>IF(VLOOKUP($C$3&amp;"-"&amp;$D80,Import!$C:$H,3,FALSE)=0,"",VLOOKUP($C$3&amp;"-"&amp;$D80,Import!$C:$H,3,FALSE))</f>
        <v/>
      </c>
      <c r="Q80" s="921" t="str">
        <f>IF(VLOOKUP($C$3&amp;"-"&amp;$D80,Import!$C:$H,4,FALSE)=0,"",VLOOKUP($C$3&amp;"-"&amp;$D80,Import!$C:$H,4,FALSE))</f>
        <v/>
      </c>
      <c r="R80" s="921" t="str">
        <f>IF(VLOOKUP($C$3&amp;"-"&amp;$D80,Import!$C:$H,5,FALSE)=0,"",VLOOKUP($C$3&amp;"-"&amp;$D80,Import!$C:$H,5,FALSE))</f>
        <v/>
      </c>
      <c r="S80" s="922" t="str">
        <f>IF(VLOOKUP($C$3&amp;"-"&amp;$D80,Import!$C:$H,6,FALSE)=0,"",VLOOKUP($C$3&amp;"-"&amp;$D80,Import!$C:$H,6,FALSE))</f>
        <v/>
      </c>
      <c r="T80" s="154"/>
      <c r="U80" s="252"/>
    </row>
    <row r="81" spans="1:21" s="296" customFormat="1" ht="41.4" customHeight="1" x14ac:dyDescent="0.2">
      <c r="A81" s="305"/>
      <c r="B81" s="1199"/>
      <c r="C81" s="1208"/>
      <c r="D81" s="396" t="s">
        <v>137</v>
      </c>
      <c r="E81" s="474" t="str">
        <f>IF(VLOOKUP(CONCATENATE($C$3,"-",$D81),Languages!$A:$D,1,TRUE)=CONCATENATE($C$3,"-",$D81),VLOOKUP(CONCATENATE($C$3,"-",$D81),Languages!$A:$D,Summary!$C$7,TRUE),NA())</f>
        <v>RESPONSE-osion toimintaa varten on tarjolla riittävät resurssit (henkilöstö, rahoitus ja työkalut).</v>
      </c>
      <c r="F81" s="393">
        <f t="shared" si="4"/>
        <v>0</v>
      </c>
      <c r="G81" s="449" t="s">
        <v>2542</v>
      </c>
      <c r="H81" s="444"/>
      <c r="I81" s="444"/>
      <c r="J81" s="444"/>
      <c r="K81" s="453"/>
      <c r="L81" s="154"/>
      <c r="M81" s="252"/>
      <c r="N81" s="149"/>
      <c r="O81" s="897" t="str">
        <f>VLOOKUP(VLOOKUP($C$3&amp;"-"&amp;$D81,Import!$C:$D,2,FALSE),Parameters!$C$18:$F$22,Summary!$C$7,FALSE)</f>
        <v xml:space="preserve">0 - Vastaus puuttuu </v>
      </c>
      <c r="P81" s="923" t="str">
        <f>IF(VLOOKUP($C$3&amp;"-"&amp;$D81,Import!$C:$H,3,FALSE)=0,"",VLOOKUP($C$3&amp;"-"&amp;$D81,Import!$C:$H,3,FALSE))</f>
        <v/>
      </c>
      <c r="Q81" s="923" t="str">
        <f>IF(VLOOKUP($C$3&amp;"-"&amp;$D81,Import!$C:$H,4,FALSE)=0,"",VLOOKUP($C$3&amp;"-"&amp;$D81,Import!$C:$H,4,FALSE))</f>
        <v/>
      </c>
      <c r="R81" s="923" t="str">
        <f>IF(VLOOKUP($C$3&amp;"-"&amp;$D81,Import!$C:$H,5,FALSE)=0,"",VLOOKUP($C$3&amp;"-"&amp;$D81,Import!$C:$H,5,FALSE))</f>
        <v/>
      </c>
      <c r="S81" s="924" t="str">
        <f>IF(VLOOKUP($C$3&amp;"-"&amp;$D81,Import!$C:$H,6,FALSE)=0,"",VLOOKUP($C$3&amp;"-"&amp;$D81,Import!$C:$H,6,FALSE))</f>
        <v/>
      </c>
      <c r="T81" s="154"/>
      <c r="U81" s="252"/>
    </row>
    <row r="82" spans="1:21" s="296" customFormat="1" ht="46.8" customHeight="1" x14ac:dyDescent="0.2">
      <c r="A82" s="305"/>
      <c r="B82" s="1199"/>
      <c r="C82" s="1209">
        <v>3</v>
      </c>
      <c r="D82" s="395" t="s">
        <v>140</v>
      </c>
      <c r="E82" s="467" t="str">
        <f>IF(VLOOKUP(CONCATENATE($C$3,"-",$D82),Languages!$A:$D,1,TRUE)=CONCATENATE($C$3,"-",$D82),VLOOKUP(CONCATENATE($C$3,"-",$D82),Languages!$A:$D,Summary!$C$7,TRUE),NA())</f>
        <v>RESPONSE-osion toimintaa ohjataan vaatimuksilla, jotka on asetettu organisaation johtotason politiikassa (tai vastaavassa ohjeistuksessa).</v>
      </c>
      <c r="F82" s="386">
        <f t="shared" si="4"/>
        <v>0</v>
      </c>
      <c r="G82" s="445" t="s">
        <v>2542</v>
      </c>
      <c r="H82" s="442"/>
      <c r="I82" s="442"/>
      <c r="J82" s="442"/>
      <c r="K82" s="451"/>
      <c r="L82" s="154"/>
      <c r="M82" s="252"/>
      <c r="N82" s="149"/>
      <c r="O82" s="889" t="str">
        <f>VLOOKUP(VLOOKUP($C$3&amp;"-"&amp;$D82,Import!$C:$D,2,FALSE),Parameters!$C$18:$F$22,Summary!$C$7,FALSE)</f>
        <v xml:space="preserve">0 - Vastaus puuttuu </v>
      </c>
      <c r="P82" s="921" t="str">
        <f>IF(VLOOKUP($C$3&amp;"-"&amp;$D82,Import!$C:$H,3,FALSE)=0,"",VLOOKUP($C$3&amp;"-"&amp;$D82,Import!$C:$H,3,FALSE))</f>
        <v/>
      </c>
      <c r="Q82" s="921" t="str">
        <f>IF(VLOOKUP($C$3&amp;"-"&amp;$D82,Import!$C:$H,4,FALSE)=0,"",VLOOKUP($C$3&amp;"-"&amp;$D82,Import!$C:$H,4,FALSE))</f>
        <v/>
      </c>
      <c r="R82" s="921" t="str">
        <f>IF(VLOOKUP($C$3&amp;"-"&amp;$D82,Import!$C:$H,5,FALSE)=0,"",VLOOKUP($C$3&amp;"-"&amp;$D82,Import!$C:$H,5,FALSE))</f>
        <v/>
      </c>
      <c r="S82" s="922" t="str">
        <f>IF(VLOOKUP($C$3&amp;"-"&amp;$D82,Import!$C:$H,6,FALSE)=0,"",VLOOKUP($C$3&amp;"-"&amp;$D82,Import!$C:$H,6,FALSE))</f>
        <v/>
      </c>
      <c r="T82" s="154"/>
      <c r="U82" s="252"/>
    </row>
    <row r="83" spans="1:21" s="296" customFormat="1" ht="43.2" customHeight="1" x14ac:dyDescent="0.2">
      <c r="A83" s="305"/>
      <c r="B83" s="1199"/>
      <c r="C83" s="1210"/>
      <c r="D83" s="294" t="s">
        <v>142</v>
      </c>
      <c r="E83" s="468" t="str">
        <f>IF(VLOOKUP(CONCATENATE($C$3,"-",$D83),Languages!$A:$D,1,TRUE)=CONCATENATE($C$3,"-",$D83),VLOOKUP(CONCATENATE($C$3,"-",$D83),Languages!$A:$D,Summary!$C$7,TRUE),NA())</f>
        <v>RESPONSE-osion toimintaa suorittaville työntekijöille on määritelty vastuut, velvoitteet ja valtuutukset tehtäviensä suorittamista varten.</v>
      </c>
      <c r="F83" s="287">
        <f t="shared" si="4"/>
        <v>0</v>
      </c>
      <c r="G83" s="307" t="s">
        <v>2542</v>
      </c>
      <c r="H83" s="443"/>
      <c r="I83" s="443"/>
      <c r="J83" s="443"/>
      <c r="K83" s="452"/>
      <c r="L83" s="154"/>
      <c r="M83" s="252"/>
      <c r="N83" s="149"/>
      <c r="O83" s="892" t="str">
        <f>VLOOKUP(VLOOKUP($C$3&amp;"-"&amp;$D83,Import!$C:$D,2,FALSE),Parameters!$C$18:$F$22,Summary!$C$7,FALSE)</f>
        <v xml:space="preserve">0 - Vastaus puuttuu </v>
      </c>
      <c r="P83" s="916" t="str">
        <f>IF(VLOOKUP($C$3&amp;"-"&amp;$D83,Import!$C:$H,3,FALSE)=0,"",VLOOKUP($C$3&amp;"-"&amp;$D83,Import!$C:$H,3,FALSE))</f>
        <v/>
      </c>
      <c r="Q83" s="916" t="str">
        <f>IF(VLOOKUP($C$3&amp;"-"&amp;$D83,Import!$C:$H,4,FALSE)=0,"",VLOOKUP($C$3&amp;"-"&amp;$D83,Import!$C:$H,4,FALSE))</f>
        <v/>
      </c>
      <c r="R83" s="916" t="str">
        <f>IF(VLOOKUP($C$3&amp;"-"&amp;$D83,Import!$C:$H,5,FALSE)=0,"",VLOOKUP($C$3&amp;"-"&amp;$D83,Import!$C:$H,5,FALSE))</f>
        <v/>
      </c>
      <c r="S83" s="917" t="str">
        <f>IF(VLOOKUP($C$3&amp;"-"&amp;$D83,Import!$C:$H,6,FALSE)=0,"",VLOOKUP($C$3&amp;"-"&amp;$D83,Import!$C:$H,6,FALSE))</f>
        <v/>
      </c>
      <c r="T83" s="154"/>
      <c r="U83" s="252"/>
    </row>
    <row r="84" spans="1:21" s="296" customFormat="1" ht="43.2" customHeight="1" x14ac:dyDescent="0.2">
      <c r="A84" s="305"/>
      <c r="B84" s="1199"/>
      <c r="C84" s="1210"/>
      <c r="D84" s="294" t="s">
        <v>144</v>
      </c>
      <c r="E84" s="468" t="str">
        <f>IF(VLOOKUP(CONCATENATE($C$3,"-",$D84),Languages!$A:$D,1,TRUE)=CONCATENATE($C$3,"-",$D84),VLOOKUP(CONCATENATE($C$3,"-",$D84),Languages!$A:$D,Summary!$C$7,TRUE),NA())</f>
        <v>RESPONSE-osion toimintaa suorittavilla työntekijöillä on riittävät tiedot ja taidot tehtäviensä suorittamiseen.</v>
      </c>
      <c r="F84" s="287">
        <f t="shared" si="4"/>
        <v>0</v>
      </c>
      <c r="G84" s="307" t="s">
        <v>2542</v>
      </c>
      <c r="H84" s="443"/>
      <c r="I84" s="443"/>
      <c r="J84" s="443"/>
      <c r="K84" s="452"/>
      <c r="L84" s="154"/>
      <c r="M84" s="252"/>
      <c r="N84" s="149"/>
      <c r="O84" s="892" t="str">
        <f>VLOOKUP(VLOOKUP($C$3&amp;"-"&amp;$D84,Import!$C:$D,2,FALSE),Parameters!$C$18:$F$22,Summary!$C$7,FALSE)</f>
        <v xml:space="preserve">0 - Vastaus puuttuu </v>
      </c>
      <c r="P84" s="916" t="str">
        <f>IF(VLOOKUP($C$3&amp;"-"&amp;$D84,Import!$C:$H,3,FALSE)=0,"",VLOOKUP($C$3&amp;"-"&amp;$D84,Import!$C:$H,3,FALSE))</f>
        <v/>
      </c>
      <c r="Q84" s="916" t="str">
        <f>IF(VLOOKUP($C$3&amp;"-"&amp;$D84,Import!$C:$H,4,FALSE)=0,"",VLOOKUP($C$3&amp;"-"&amp;$D84,Import!$C:$H,4,FALSE))</f>
        <v/>
      </c>
      <c r="R84" s="916" t="str">
        <f>IF(VLOOKUP($C$3&amp;"-"&amp;$D84,Import!$C:$H,5,FALSE)=0,"",VLOOKUP($C$3&amp;"-"&amp;$D84,Import!$C:$H,5,FALSE))</f>
        <v/>
      </c>
      <c r="S84" s="917" t="str">
        <f>IF(VLOOKUP($C$3&amp;"-"&amp;$D84,Import!$C:$H,6,FALSE)=0,"",VLOOKUP($C$3&amp;"-"&amp;$D84,Import!$C:$H,6,FALSE))</f>
        <v/>
      </c>
      <c r="T84" s="154"/>
      <c r="U84" s="252"/>
    </row>
    <row r="85" spans="1:21" s="296" customFormat="1" ht="34.950000000000003" customHeight="1" x14ac:dyDescent="0.2">
      <c r="A85" s="305"/>
      <c r="B85" s="1199"/>
      <c r="C85" s="1211"/>
      <c r="D85" s="396" t="s">
        <v>146</v>
      </c>
      <c r="E85" s="474" t="str">
        <f>IF(VLOOKUP(CONCATENATE($C$3,"-",$D85),Languages!$A:$D,1,TRUE)=CONCATENATE($C$3,"-",$D85),VLOOKUP(CONCATENATE($C$3,"-",$D85),Languages!$A:$D,Summary!$C$7,TRUE),NA())</f>
        <v>RESPONSE-osion toiminnan vaikuttavuutta arvioidaan ja seurataan.</v>
      </c>
      <c r="F85" s="393">
        <f t="shared" si="4"/>
        <v>0</v>
      </c>
      <c r="G85" s="449" t="s">
        <v>2542</v>
      </c>
      <c r="H85" s="444"/>
      <c r="I85" s="444"/>
      <c r="J85" s="444"/>
      <c r="K85" s="453"/>
      <c r="L85" s="154"/>
      <c r="M85" s="252"/>
      <c r="N85" s="149"/>
      <c r="O85" s="897" t="str">
        <f>VLOOKUP(VLOOKUP($C$3&amp;"-"&amp;$D85,Import!$C:$D,2,FALSE),Parameters!$C$18:$F$22,Summary!$C$7,FALSE)</f>
        <v xml:space="preserve">0 - Vastaus puuttuu </v>
      </c>
      <c r="P85" s="923" t="str">
        <f>IF(VLOOKUP($C$3&amp;"-"&amp;$D85,Import!$C:$H,3,FALSE)=0,"",VLOOKUP($C$3&amp;"-"&amp;$D85,Import!$C:$H,3,FALSE))</f>
        <v/>
      </c>
      <c r="Q85" s="923" t="str">
        <f>IF(VLOOKUP($C$3&amp;"-"&amp;$D85,Import!$C:$H,4,FALSE)=0,"",VLOOKUP($C$3&amp;"-"&amp;$D85,Import!$C:$H,4,FALSE))</f>
        <v/>
      </c>
      <c r="R85" s="923" t="str">
        <f>IF(VLOOKUP($C$3&amp;"-"&amp;$D85,Import!$C:$H,5,FALSE)=0,"",VLOOKUP($C$3&amp;"-"&amp;$D85,Import!$C:$H,5,FALSE))</f>
        <v/>
      </c>
      <c r="S85" s="924" t="str">
        <f>IF(VLOOKUP($C$3&amp;"-"&amp;$D85,Import!$C:$H,6,FALSE)=0,"",VLOOKUP($C$3&amp;"-"&amp;$D85,Import!$C:$H,6,FALSE))</f>
        <v/>
      </c>
      <c r="T85" s="154"/>
      <c r="U85" s="252"/>
    </row>
    <row r="86" spans="1:21" x14ac:dyDescent="0.2">
      <c r="A86" s="181"/>
      <c r="B86" s="329"/>
      <c r="C86" s="330"/>
      <c r="D86" s="331"/>
      <c r="E86" s="332"/>
      <c r="F86" s="333"/>
      <c r="G86" s="334"/>
      <c r="H86" s="335"/>
      <c r="I86" s="335"/>
      <c r="J86" s="335"/>
      <c r="K86" s="335"/>
      <c r="L86" s="154"/>
      <c r="M86" s="252"/>
      <c r="N86" s="149"/>
      <c r="O86" s="334"/>
      <c r="P86" s="335"/>
      <c r="Q86" s="335"/>
      <c r="R86" s="335"/>
      <c r="S86" s="335"/>
      <c r="T86" s="154"/>
      <c r="U86" s="252"/>
    </row>
    <row r="87" spans="1:21" x14ac:dyDescent="0.25">
      <c r="A87" s="181"/>
      <c r="B87" s="181"/>
      <c r="C87" s="181"/>
      <c r="D87" s="181"/>
      <c r="E87" s="181"/>
      <c r="F87" s="336"/>
      <c r="G87" s="181"/>
      <c r="H87" s="181"/>
      <c r="I87" s="181"/>
      <c r="J87" s="181"/>
      <c r="K87" s="181"/>
      <c r="L87" s="476"/>
      <c r="M87" s="342"/>
      <c r="N87" s="476"/>
      <c r="O87" s="181"/>
      <c r="P87" s="181"/>
      <c r="Q87" s="181"/>
      <c r="R87" s="181"/>
      <c r="S87" s="181"/>
      <c r="T87" s="476"/>
      <c r="U87" s="342"/>
    </row>
  </sheetData>
  <sheetProtection sheet="1" formatCells="0" formatColumns="0" formatRows="0"/>
  <mergeCells count="52">
    <mergeCell ref="O21:O22"/>
    <mergeCell ref="P21:P22"/>
    <mergeCell ref="Q21:Q22"/>
    <mergeCell ref="R21:R22"/>
    <mergeCell ref="S21:S22"/>
    <mergeCell ref="P17:P18"/>
    <mergeCell ref="Q17:Q18"/>
    <mergeCell ref="R17:R18"/>
    <mergeCell ref="S17:S18"/>
    <mergeCell ref="O19:O20"/>
    <mergeCell ref="P19:P20"/>
    <mergeCell ref="Q19:Q20"/>
    <mergeCell ref="R19:R20"/>
    <mergeCell ref="S19:S20"/>
    <mergeCell ref="C64:C72"/>
    <mergeCell ref="C80:C81"/>
    <mergeCell ref="C82:C85"/>
    <mergeCell ref="C73:C76"/>
    <mergeCell ref="I8:J8"/>
    <mergeCell ref="C21:K21"/>
    <mergeCell ref="I10:J11"/>
    <mergeCell ref="C15:K15"/>
    <mergeCell ref="C17:K17"/>
    <mergeCell ref="C19:K19"/>
    <mergeCell ref="C61:C63"/>
    <mergeCell ref="C47:C49"/>
    <mergeCell ref="C36:C37"/>
    <mergeCell ref="C29:C30"/>
    <mergeCell ref="C38:C42"/>
    <mergeCell ref="C43:C44"/>
    <mergeCell ref="B84:B85"/>
    <mergeCell ref="B80:B83"/>
    <mergeCell ref="B28:B29"/>
    <mergeCell ref="B30:B33"/>
    <mergeCell ref="B36:B37"/>
    <mergeCell ref="B38:B44"/>
    <mergeCell ref="C31:C33"/>
    <mergeCell ref="C6:K6"/>
    <mergeCell ref="C13:K13"/>
    <mergeCell ref="C50:C54"/>
    <mergeCell ref="O3:S11"/>
    <mergeCell ref="O13:O14"/>
    <mergeCell ref="P13:P14"/>
    <mergeCell ref="Q13:Q14"/>
    <mergeCell ref="R13:R14"/>
    <mergeCell ref="S13:S14"/>
    <mergeCell ref="O15:O16"/>
    <mergeCell ref="P15:P16"/>
    <mergeCell ref="Q15:Q16"/>
    <mergeCell ref="R15:R16"/>
    <mergeCell ref="S15:S16"/>
    <mergeCell ref="O17:O18"/>
  </mergeCells>
  <conditionalFormatting sqref="F4:F5 F77 F12 F7:F10 F28:F34 F36:F45 F79:F1048576 F47:F57">
    <cfRule type="containsText" dxfId="167" priority="37" operator="containsText" text="0">
      <formula>NOT(ISERROR(SEARCH("0",F4)))</formula>
    </cfRule>
  </conditionalFormatting>
  <conditionalFormatting sqref="F59 F61:F70">
    <cfRule type="containsText" dxfId="166" priority="33" operator="containsText" text="0">
      <formula>NOT(ISERROR(SEARCH("0",F59)))</formula>
    </cfRule>
  </conditionalFormatting>
  <conditionalFormatting sqref="F71:F76">
    <cfRule type="containsText" dxfId="165" priority="29" operator="containsText" text="0">
      <formula>NOT(ISERROR(SEARCH("0",F71)))</formula>
    </cfRule>
  </conditionalFormatting>
  <conditionalFormatting sqref="F58">
    <cfRule type="containsText" dxfId="164" priority="27" operator="containsText" text="0">
      <formula>NOT(ISERROR(SEARCH("0",F58)))</formula>
    </cfRule>
  </conditionalFormatting>
  <conditionalFormatting sqref="F11">
    <cfRule type="containsText" dxfId="163" priority="25" operator="containsText" text="0">
      <formula>NOT(ISERROR(SEARCH("0",F11)))</formula>
    </cfRule>
  </conditionalFormatting>
  <conditionalFormatting sqref="F1 F3">
    <cfRule type="containsText" dxfId="162" priority="22" operator="containsText" text="0">
      <formula>NOT(ISERROR(SEARCH("0",F1)))</formula>
    </cfRule>
  </conditionalFormatting>
  <conditionalFormatting sqref="F2">
    <cfRule type="containsText" dxfId="161" priority="21" operator="containsText" text="0">
      <formula>NOT(ISERROR(SEARCH("0",F2)))</formula>
    </cfRule>
  </conditionalFormatting>
  <conditionalFormatting sqref="F78">
    <cfRule type="containsText" dxfId="160" priority="19" operator="containsText" text="0">
      <formula>NOT(ISERROR(SEARCH("0",F78)))</formula>
    </cfRule>
  </conditionalFormatting>
  <conditionalFormatting sqref="F60">
    <cfRule type="containsText" dxfId="159" priority="17" operator="containsText" text="0">
      <formula>NOT(ISERROR(SEARCH("0",F60)))</formula>
    </cfRule>
  </conditionalFormatting>
  <conditionalFormatting sqref="F46">
    <cfRule type="containsText" dxfId="158" priority="15" operator="containsText" text="0">
      <formula>NOT(ISERROR(SEARCH("0",F46)))</formula>
    </cfRule>
  </conditionalFormatting>
  <conditionalFormatting sqref="F35">
    <cfRule type="containsText" dxfId="157" priority="13" operator="containsText" text="0">
      <formula>NOT(ISERROR(SEARCH("0",F35)))</formula>
    </cfRule>
  </conditionalFormatting>
  <conditionalFormatting sqref="F27">
    <cfRule type="containsText" dxfId="156" priority="11" operator="containsText" text="0">
      <formula>NOT(ISERROR(SEARCH("0",F27)))</formula>
    </cfRule>
  </conditionalFormatting>
  <conditionalFormatting sqref="F14">
    <cfRule type="containsText" dxfId="155" priority="9" operator="containsText" text="0">
      <formula>NOT(ISERROR(SEARCH("0",F14)))</formula>
    </cfRule>
  </conditionalFormatting>
  <conditionalFormatting sqref="F16">
    <cfRule type="containsText" dxfId="154" priority="7" operator="containsText" text="0">
      <formula>NOT(ISERROR(SEARCH("0",F16)))</formula>
    </cfRule>
  </conditionalFormatting>
  <conditionalFormatting sqref="F18">
    <cfRule type="containsText" dxfId="153" priority="5" operator="containsText" text="0">
      <formula>NOT(ISERROR(SEARCH("0",F18)))</formula>
    </cfRule>
  </conditionalFormatting>
  <conditionalFormatting sqref="F20">
    <cfRule type="containsText" dxfId="152" priority="3" operator="containsText" text="0">
      <formula>NOT(ISERROR(SEARCH("0",F20)))</formula>
    </cfRule>
  </conditionalFormatting>
  <conditionalFormatting sqref="F26">
    <cfRule type="containsText" dxfId="151" priority="1" operator="containsText" text="0">
      <formula>NOT(ISERROR(SEARCH("0",F26)))</formula>
    </cfRule>
  </conditionalFormatting>
  <pageMargins left="0.7" right="0.7" top="0.75" bottom="0.75" header="0.3" footer="0.3"/>
  <pageSetup paperSize="9" scale="42" orientation="portrait" r:id="rId1"/>
  <rowBreaks count="1" manualBreakCount="1">
    <brk id="44" max="16383" man="1"/>
  </rowBreaks>
  <colBreaks count="1" manualBreakCount="1">
    <brk id="13" max="1048575" man="1"/>
  </colBreaks>
  <ignoredErrors>
    <ignoredError sqref="O28:S33 O36:S44 O47:S56 O61:O76 O80:S85 O58:S58 P60:S76"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8" id="{D7A53347-6F96-4FDC-BD49-F3FCBC1798F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F79:F1048576 F77 F4:F5 F12 F7:F10 F28:F34 F36:F45 F47:F57</xm:sqref>
        </x14:conditionalFormatting>
        <x14:conditionalFormatting xmlns:xm="http://schemas.microsoft.com/office/excel/2006/main">
          <x14:cfRule type="iconSet" priority="34" id="{58A01350-1578-4186-93A3-B683443D809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F61:F70 F59</xm:sqref>
        </x14:conditionalFormatting>
        <x14:conditionalFormatting xmlns:xm="http://schemas.microsoft.com/office/excel/2006/main">
          <x14:cfRule type="iconSet" priority="28" id="{B8E24C2C-7C34-49A1-96AE-80350EA1E92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xm:sqref>
        </x14:conditionalFormatting>
        <x14:conditionalFormatting xmlns:xm="http://schemas.microsoft.com/office/excel/2006/main">
          <x14:cfRule type="iconSet" priority="26" id="{8461E30D-E562-4B8C-9E85-61DF11F1E1A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F11</xm:sqref>
        </x14:conditionalFormatting>
        <x14:conditionalFormatting xmlns:xm="http://schemas.microsoft.com/office/excel/2006/main">
          <x14:cfRule type="iconSet" priority="23" id="{9F7111A4-66E2-42C0-937E-0B210F59AB0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CD0C2ECA-A26A-4E3E-8110-1A57338DF1F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44412A0A-770C-46A8-B12D-DD75246B2D1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F78</xm:sqref>
        </x14:conditionalFormatting>
        <x14:conditionalFormatting xmlns:xm="http://schemas.microsoft.com/office/excel/2006/main">
          <x14:cfRule type="iconSet" priority="18" id="{BFA8A6A0-CE25-47C3-B2E6-E7D5DC9C49E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F60</xm:sqref>
        </x14:conditionalFormatting>
        <x14:conditionalFormatting xmlns:xm="http://schemas.microsoft.com/office/excel/2006/main">
          <x14:cfRule type="iconSet" priority="16" id="{6925C8E5-009C-48B3-80D9-C501570475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xm:sqref>
        </x14:conditionalFormatting>
        <x14:conditionalFormatting xmlns:xm="http://schemas.microsoft.com/office/excel/2006/main">
          <x14:cfRule type="iconSet" priority="14" id="{92AD853E-6453-4DF4-BC27-FACF113A3D5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F35</xm:sqref>
        </x14:conditionalFormatting>
        <x14:conditionalFormatting xmlns:xm="http://schemas.microsoft.com/office/excel/2006/main">
          <x14:cfRule type="iconSet" priority="12" id="{015E835C-71E2-4319-BE84-EAB6B10A62D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F27</xm:sqref>
        </x14:conditionalFormatting>
        <x14:conditionalFormatting xmlns:xm="http://schemas.microsoft.com/office/excel/2006/main">
          <x14:cfRule type="iconSet" priority="10" id="{7E18B624-E129-4725-875B-53E8D8B1C13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F513DDED-7757-47EE-955D-B92CB3FA739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47DCE5EF-17EB-46D1-9467-0187E9255F1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5B209516-2884-475D-9316-ABC8E8EBF75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F5339100-142C-4221-B7DD-65F3DE6701B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F26</xm:sqref>
        </x14:conditionalFormatting>
        <x14:conditionalFormatting xmlns:xm="http://schemas.microsoft.com/office/excel/2006/main">
          <x14:cfRule type="iconSet" priority="540" id="{52FF87DF-0A5F-4D7C-8F0A-3F71613CF7E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F71:F76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Parameters!$B$18:$B$22</xm:f>
          </x14:formula1>
          <xm:sqref>G28:G33 G36:G44 G80:G85 G61:G76 G47:G58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2" tint="0.79998168889431442"/>
  </sheetPr>
  <dimension ref="A1:U61"/>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812"/>
      <c r="O2" s="813"/>
      <c r="P2" s="813"/>
      <c r="Q2" s="813"/>
      <c r="R2" s="813"/>
      <c r="S2" s="813"/>
      <c r="T2" s="814"/>
      <c r="U2" s="252"/>
    </row>
    <row r="3" spans="1:21" s="257" customFormat="1" ht="25.05" customHeight="1" x14ac:dyDescent="0.25">
      <c r="A3" s="252"/>
      <c r="B3" s="149"/>
      <c r="C3" s="150" t="s">
        <v>2619</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15"/>
      <c r="O3" s="1184" t="str">
        <f>VLOOKUP($C$3,Infoimport!$B$4:$C$14,2,FALSE)</f>
        <v xml:space="preserve">THIRDPARTY, tiedot Infoimport-välilehdeltä
</v>
      </c>
      <c r="P3" s="1184"/>
      <c r="Q3" s="1184"/>
      <c r="R3" s="1184"/>
      <c r="S3" s="1184"/>
      <c r="T3" s="816"/>
      <c r="U3" s="252"/>
    </row>
    <row r="4" spans="1:21" s="318" customFormat="1" ht="25.05" customHeight="1" x14ac:dyDescent="0.3">
      <c r="A4" s="316"/>
      <c r="B4" s="317"/>
      <c r="C4" s="155" t="str">
        <f>IF(VLOOKUP($C$3,Languages!$A:$D,1,TRUE)=$C$3,VLOOKUP($C$3,Languages!$A:$D,Summary!$C$7,TRUE),NA())</f>
        <v>Kumppaniverkoston riskien hallinta (THIRD-PARTIES)</v>
      </c>
      <c r="D4" s="258"/>
      <c r="E4" s="259"/>
      <c r="F4" s="320"/>
      <c r="G4" s="319"/>
      <c r="H4" s="261" t="str">
        <f ca="1">VLOOKUP(VLOOKUP(CONCATENATE($C$3),Data!$K:$O,5,FALSE),Parameters!$C$7:$F$10,Summary!$C$7,FALSE)</f>
        <v>Kypsyystaso 0</v>
      </c>
      <c r="I4" s="697"/>
      <c r="J4" s="262"/>
      <c r="K4" s="148"/>
      <c r="L4" s="154"/>
      <c r="M4" s="252"/>
      <c r="N4" s="815"/>
      <c r="O4" s="1184"/>
      <c r="P4" s="1184"/>
      <c r="Q4" s="1184"/>
      <c r="R4" s="1184"/>
      <c r="S4" s="1184"/>
      <c r="T4" s="816"/>
      <c r="U4" s="252"/>
    </row>
    <row r="5" spans="1:21" ht="10.050000000000001" customHeight="1" x14ac:dyDescent="0.25">
      <c r="A5" s="178"/>
      <c r="B5" s="308"/>
      <c r="C5" s="321"/>
      <c r="D5" s="322"/>
      <c r="E5" s="322"/>
      <c r="F5" s="261"/>
      <c r="G5" s="261"/>
      <c r="H5" s="797"/>
      <c r="I5" s="262"/>
      <c r="J5" s="262"/>
      <c r="K5" s="148"/>
      <c r="L5" s="154"/>
      <c r="M5" s="252"/>
      <c r="N5" s="815"/>
      <c r="O5" s="1184"/>
      <c r="P5" s="1184"/>
      <c r="Q5" s="1184"/>
      <c r="R5" s="1184"/>
      <c r="S5" s="1184"/>
      <c r="T5" s="816"/>
      <c r="U5" s="252"/>
    </row>
    <row r="6" spans="1:21" ht="139.5" customHeight="1" x14ac:dyDescent="0.2">
      <c r="A6" s="178"/>
      <c r="B6" s="308"/>
      <c r="C6" s="1204" t="str">
        <f>IF(VLOOKUP(CONCATENATE(C3,"-0"),Languages!$A:$D,1,TRUE)=CONCATENATE(C3,"-0"),VLOOKUP(CONCATENATE(C3,"-0"),Languages!$A:$D,Summary!$C$7,TRUE),NA())</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D6" s="1204"/>
      <c r="E6" s="1204"/>
      <c r="F6" s="1204"/>
      <c r="G6" s="1204"/>
      <c r="H6" s="1204"/>
      <c r="I6" s="1204"/>
      <c r="J6" s="1204"/>
      <c r="K6" s="1204"/>
      <c r="L6" s="154"/>
      <c r="M6" s="252"/>
      <c r="N6" s="815"/>
      <c r="O6" s="1184"/>
      <c r="P6" s="1184"/>
      <c r="Q6" s="1184"/>
      <c r="R6" s="1184"/>
      <c r="S6" s="1184"/>
      <c r="T6" s="816"/>
      <c r="U6" s="252"/>
    </row>
    <row r="7" spans="1:21" ht="14.4" customHeight="1" x14ac:dyDescent="0.2">
      <c r="A7" s="178"/>
      <c r="B7" s="308"/>
      <c r="C7" s="264">
        <v>1</v>
      </c>
      <c r="D7" s="265" t="s">
        <v>1</v>
      </c>
      <c r="E7" s="266" t="str">
        <f>IF(VLOOKUP(CONCATENATE($C$3,"-",C7),Languages!$A:$D,1,TRUE)=CONCATENATE($C$3,"-",C7),VLOOKUP(CONCATENATE($C$3,"-",C7),Languages!$A:$D,Summary!$C$7,TRUE),NA())</f>
        <v>Kumppaniverkoston tunnistaminen ja priorisointi</v>
      </c>
      <c r="H7" s="267" t="str">
        <f ca="1">VLOOKUP(VLOOKUP(CONCATENATE($C$3,"-",$C7),Data!$K:$O,5,FALSE),Parameters!$C$7:$F$10,Summary!$C$7,FALSE)</f>
        <v>Kypsyystaso 0</v>
      </c>
      <c r="I7" s="465" t="str">
        <f>IF(VLOOKUP("KM110",Languages!$A:$D,1,TRUE)="KM110",VLOOKUP("KM110",Languages!$A:$D,Summary!$C$7,TRUE),NA())</f>
        <v>Päivämäärä</v>
      </c>
      <c r="J7" s="439"/>
      <c r="K7" s="148"/>
      <c r="L7" s="154"/>
      <c r="M7" s="252"/>
      <c r="N7" s="815"/>
      <c r="O7" s="1184"/>
      <c r="P7" s="1184"/>
      <c r="Q7" s="1184"/>
      <c r="R7" s="1184"/>
      <c r="S7" s="1184"/>
      <c r="T7" s="816"/>
      <c r="U7" s="252"/>
    </row>
    <row r="8" spans="1:21" ht="14.4" customHeight="1" x14ac:dyDescent="0.25">
      <c r="A8" s="178"/>
      <c r="B8" s="308"/>
      <c r="C8" s="264">
        <v>2</v>
      </c>
      <c r="D8" s="265" t="s">
        <v>1</v>
      </c>
      <c r="E8" s="266" t="str">
        <f>IF(VLOOKUP(CONCATENATE($C$3,"-",C8),Languages!$A:$D,1,TRUE)=CONCATENATE($C$3,"-",C8),VLOOKUP(CONCATENATE($C$3,"-",C8),Languages!$A:$D,Summary!$C$7,TRUE),NA())</f>
        <v>Kumppaniverkostoon liittyvien riskien hallinta</v>
      </c>
      <c r="F8" s="324"/>
      <c r="H8" s="267" t="str">
        <f ca="1">VLOOKUP(VLOOKUP(CONCATENATE($C$3,"-",$C8),Data!$K:$O,5,FALSE),Parameters!$C$7:$F$10,Summary!$C$7,FALSE)</f>
        <v>Kypsyystaso 0</v>
      </c>
      <c r="I8" s="1213"/>
      <c r="J8" s="1206"/>
      <c r="K8" s="148"/>
      <c r="L8" s="154"/>
      <c r="M8" s="252"/>
      <c r="N8" s="815"/>
      <c r="O8" s="1184"/>
      <c r="P8" s="1184"/>
      <c r="Q8" s="1184"/>
      <c r="R8" s="1184"/>
      <c r="S8" s="1184"/>
      <c r="T8" s="816"/>
      <c r="U8" s="252"/>
    </row>
    <row r="9" spans="1:21" ht="14.4" customHeight="1" x14ac:dyDescent="0.2">
      <c r="A9" s="178"/>
      <c r="B9" s="308"/>
      <c r="C9" s="264">
        <v>3</v>
      </c>
      <c r="D9" s="265" t="s">
        <v>1</v>
      </c>
      <c r="E9" s="266" t="str">
        <f>IF(VLOOKUP(CONCATENATE($C$3,"-",C9),Languages!$A:$D,1,TRUE)=CONCATENATE($C$3,"-",C9),VLOOKUP(CONCATENATE($C$3,"-",C9),Languages!$A:$D,Summary!$C$7,TRUE),NA())</f>
        <v>Yleisiä hallintatoimia</v>
      </c>
      <c r="F9" s="325"/>
      <c r="H9" s="267" t="str">
        <f ca="1">VLOOKUP(VLOOKUP(CONCATENATE($C$3,"-",$C9),Data!$K:$O,5,FALSE),Parameters!$C$7:$F$10,Summary!$C$7,FALSE)</f>
        <v>Kypsyystaso 1</v>
      </c>
      <c r="I9" s="465" t="str">
        <f>IF(VLOOKUP("KM111",Languages!$A:$D,1,TRUE)="KM111",VLOOKUP("KM111",Languages!$A:$D,Summary!$C$7,TRUE),NA())</f>
        <v>Osallistujat</v>
      </c>
      <c r="J9" s="439"/>
      <c r="K9" s="148"/>
      <c r="L9" s="154"/>
      <c r="M9" s="252"/>
      <c r="N9" s="815"/>
      <c r="O9" s="1184"/>
      <c r="P9" s="1184"/>
      <c r="Q9" s="1184"/>
      <c r="R9" s="1184"/>
      <c r="S9" s="1184"/>
      <c r="T9" s="816"/>
      <c r="U9" s="252"/>
    </row>
    <row r="10" spans="1:21" ht="14.4" customHeight="1" x14ac:dyDescent="0.2">
      <c r="A10" s="178"/>
      <c r="B10" s="308"/>
      <c r="C10" s="264"/>
      <c r="D10" s="265"/>
      <c r="E10" s="266"/>
      <c r="F10" s="325"/>
      <c r="H10" s="267"/>
      <c r="I10" s="1194"/>
      <c r="J10" s="1195"/>
      <c r="K10" s="205"/>
      <c r="L10" s="154"/>
      <c r="M10" s="252"/>
      <c r="N10" s="815"/>
      <c r="O10" s="1184"/>
      <c r="P10" s="1184"/>
      <c r="Q10" s="1184"/>
      <c r="R10" s="1184"/>
      <c r="S10" s="1184"/>
      <c r="T10" s="816"/>
      <c r="U10" s="252"/>
    </row>
    <row r="11" spans="1:21" ht="14.4" customHeight="1" x14ac:dyDescent="0.2">
      <c r="A11" s="178"/>
      <c r="B11" s="308"/>
      <c r="C11" s="264"/>
      <c r="D11" s="265"/>
      <c r="E11" s="266"/>
      <c r="F11" s="325"/>
      <c r="H11" s="267"/>
      <c r="I11" s="1196"/>
      <c r="J11" s="1197"/>
      <c r="K11" s="205"/>
      <c r="L11" s="154"/>
      <c r="M11" s="252"/>
      <c r="N11" s="815"/>
      <c r="O11" s="1184"/>
      <c r="P11" s="1184"/>
      <c r="Q11" s="1184"/>
      <c r="R11" s="1184"/>
      <c r="S11" s="1184"/>
      <c r="T11" s="816"/>
      <c r="U11" s="252"/>
    </row>
    <row r="12" spans="1:21" s="177" customFormat="1" ht="30" customHeight="1" x14ac:dyDescent="0.25">
      <c r="A12" s="166"/>
      <c r="B12" s="269"/>
      <c r="C12" s="170">
        <v>1</v>
      </c>
      <c r="D12" s="170" t="str">
        <f>IF(VLOOKUP(CONCATENATE($C$3,"-",C12),Languages!$A:$D,1,TRUE)=CONCATENATE($C$3,"-",C12),VLOOKUP(CONCATENATE($C$3,"-",C12),Languages!$A:$D,Summary!$C$7,TRUE),NA())</f>
        <v>Kumppaniverkoston tunnistaminen ja priorisointi</v>
      </c>
      <c r="E12" s="170"/>
      <c r="F12" s="271"/>
      <c r="G12" s="271"/>
      <c r="H12" s="272"/>
      <c r="I12" s="272"/>
      <c r="J12" s="272"/>
      <c r="K12" s="272"/>
      <c r="L12" s="154"/>
      <c r="M12" s="252"/>
      <c r="N12" s="815"/>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16"/>
      <c r="U12" s="252"/>
    </row>
    <row r="13" spans="1:21" s="278" customFormat="1" ht="37.799999999999997" customHeight="1" x14ac:dyDescent="0.2">
      <c r="A13" s="275"/>
      <c r="B13" s="276"/>
      <c r="C13" s="1216" t="str">
        <f>IF(VLOOKUP(CONCATENATE($C$3,"-",$C12,"-0"),Languages!$A:$D,1,TRUE)=CONCATENATE($C$3,"-",$C12,"-0"),VLOOKUP(CONCATENATE($C$3,"-",$C12,"-0"),Languages!$A:$D,Summary!$C$7,TRUE),NA())</f>
        <v>Riippuvuuksien tunnistamiseen kuuluu, että organisaatio tunnistaa ja ymmärtää perusteellisesti (toiminnan osa-alueen toimintavarmuuden kannalta) tärkeimmät ulkoiset suhteet toimittajiin, alihankkijoihin ja muihin kolmansiin osapuoliin.</v>
      </c>
      <c r="D13" s="1216"/>
      <c r="E13" s="1216"/>
      <c r="F13" s="1216"/>
      <c r="G13" s="1216"/>
      <c r="H13" s="1216"/>
      <c r="I13" s="1216"/>
      <c r="J13" s="1216"/>
      <c r="K13" s="1216"/>
      <c r="L13" s="154"/>
      <c r="M13" s="252"/>
      <c r="N13" s="815"/>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16"/>
      <c r="U13" s="252"/>
    </row>
    <row r="14" spans="1:21" s="177" customFormat="1" ht="30" customHeight="1" x14ac:dyDescent="0.25">
      <c r="A14" s="166"/>
      <c r="B14" s="269"/>
      <c r="C14" s="170">
        <v>2</v>
      </c>
      <c r="D14" s="170" t="str">
        <f>IF(VLOOKUP(CONCATENATE($C$3,"-",C14),Languages!$A:$D,1,TRUE)=CONCATENATE($C$3,"-",C14),VLOOKUP(CONCATENATE($C$3,"-",C14),Languages!$A:$D,Summary!$C$7,TRUE),NA())</f>
        <v>Kumppaniverkostoon liittyvien riskien hallinta</v>
      </c>
      <c r="E14" s="170"/>
      <c r="F14" s="292"/>
      <c r="G14" s="292" t="s">
        <v>16</v>
      </c>
      <c r="H14" s="293"/>
      <c r="I14" s="293"/>
      <c r="J14" s="293"/>
      <c r="K14" s="293"/>
      <c r="L14" s="154"/>
      <c r="M14" s="252"/>
      <c r="N14" s="815"/>
      <c r="O14" s="1203"/>
      <c r="P14" s="1185"/>
      <c r="Q14" s="1185"/>
      <c r="R14" s="1185"/>
      <c r="S14" s="1185"/>
      <c r="T14" s="816"/>
      <c r="U14" s="252"/>
    </row>
    <row r="15" spans="1:21" s="278" customFormat="1" ht="79.8" customHeight="1" x14ac:dyDescent="0.2">
      <c r="A15" s="275"/>
      <c r="B15" s="276"/>
      <c r="C15" s="1216" t="str">
        <f>IF(VLOOKUP(CONCATENATE($C$3,"-",$C14,"-0"),Languages!$A:$D,1,TRUE)=CONCATENATE($C$3,"-",$C14,"-0"),VLOOKUP(CONCATENATE($C$3,"-",$C14,"-0"),Languages!$A:$D,Summary!$C$7,TRUE),NA())</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D15" s="1216"/>
      <c r="E15" s="1216"/>
      <c r="F15" s="1216"/>
      <c r="G15" s="1216"/>
      <c r="H15" s="1216"/>
      <c r="I15" s="1216"/>
      <c r="J15" s="1216"/>
      <c r="K15" s="1216"/>
      <c r="L15" s="154"/>
      <c r="M15" s="252"/>
      <c r="N15" s="815"/>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16"/>
      <c r="U15" s="252"/>
    </row>
    <row r="16" spans="1:21" s="177" customFormat="1" ht="30" customHeight="1" x14ac:dyDescent="0.25">
      <c r="A16" s="166"/>
      <c r="B16" s="269"/>
      <c r="C16" s="170">
        <v>3</v>
      </c>
      <c r="D16" s="170" t="str">
        <f>IF(VLOOKUP(CONCATENATE($C$3,"-",C16),Languages!$A:$D,1,TRUE)=CONCATENATE($C$3,"-",C16),VLOOKUP(CONCATENATE($C$3,"-",C16),Languages!$A:$D,Summary!$C$7,TRUE),NA())</f>
        <v>Yleisiä hallintatoimia</v>
      </c>
      <c r="E16" s="170"/>
      <c r="F16" s="292"/>
      <c r="G16" s="292" t="s">
        <v>16</v>
      </c>
      <c r="H16" s="293"/>
      <c r="I16" s="293"/>
      <c r="J16" s="293"/>
      <c r="K16" s="293"/>
      <c r="L16" s="154"/>
      <c r="M16" s="252"/>
      <c r="N16" s="815"/>
      <c r="O16" s="1203"/>
      <c r="P16" s="1185"/>
      <c r="Q16" s="1185"/>
      <c r="R16" s="1185"/>
      <c r="S16" s="1185"/>
      <c r="T16" s="816"/>
      <c r="U16" s="252"/>
    </row>
    <row r="17" spans="1:21" s="278" customFormat="1" ht="56.4" customHeight="1" x14ac:dyDescent="0.2">
      <c r="A17" s="305"/>
      <c r="B17" s="306"/>
      <c r="C17" s="1216"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16"/>
      <c r="E17" s="1216"/>
      <c r="F17" s="1216"/>
      <c r="G17" s="1216"/>
      <c r="H17" s="1216"/>
      <c r="I17" s="1216"/>
      <c r="J17" s="1216"/>
      <c r="K17" s="1216"/>
      <c r="L17" s="154"/>
      <c r="M17" s="252"/>
      <c r="N17" s="815"/>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16"/>
      <c r="U17" s="252"/>
    </row>
    <row r="18" spans="1:21" s="278" customFormat="1" ht="56.4" customHeight="1" x14ac:dyDescent="0.2">
      <c r="A18" s="305"/>
      <c r="B18" s="306"/>
      <c r="C18" s="1116"/>
      <c r="D18" s="1116"/>
      <c r="E18" s="1116"/>
      <c r="F18" s="1116"/>
      <c r="G18" s="1116"/>
      <c r="H18" s="1116"/>
      <c r="I18" s="1116"/>
      <c r="J18" s="1116"/>
      <c r="K18" s="1116"/>
      <c r="L18" s="154"/>
      <c r="M18" s="252"/>
      <c r="N18" s="1131"/>
      <c r="O18" s="1203"/>
      <c r="P18" s="1185"/>
      <c r="Q18" s="1185"/>
      <c r="R18" s="1185"/>
      <c r="S18" s="1185"/>
      <c r="T18" s="1131"/>
      <c r="U18" s="252"/>
    </row>
    <row r="19" spans="1:21" s="278" customFormat="1" ht="24.6" customHeight="1" x14ac:dyDescent="0.2">
      <c r="A19" s="305"/>
      <c r="B19" s="1121"/>
      <c r="C19" s="1122"/>
      <c r="D19" s="1122"/>
      <c r="E19" s="1122"/>
      <c r="F19" s="1122"/>
      <c r="G19" s="1122"/>
      <c r="H19" s="1122"/>
      <c r="I19" s="1122"/>
      <c r="J19" s="1122"/>
      <c r="K19" s="1122"/>
      <c r="L19" s="1123"/>
      <c r="M19" s="252"/>
      <c r="N19" s="817"/>
      <c r="O19" s="1114"/>
      <c r="P19" s="1114"/>
      <c r="Q19" s="1114"/>
      <c r="R19" s="1114"/>
      <c r="S19" s="1114"/>
      <c r="T19" s="818"/>
      <c r="U19" s="252"/>
    </row>
    <row r="20" spans="1:21" s="278" customFormat="1" ht="18" customHeight="1" x14ac:dyDescent="0.25">
      <c r="A20" s="305"/>
      <c r="B20" s="655"/>
      <c r="C20" s="655"/>
      <c r="D20" s="655"/>
      <c r="E20" s="655"/>
      <c r="F20" s="655"/>
      <c r="G20" s="655"/>
      <c r="H20" s="655"/>
      <c r="I20" s="655"/>
      <c r="J20" s="655"/>
      <c r="K20" s="655"/>
      <c r="L20" s="656"/>
      <c r="M20" s="135"/>
      <c r="N20" s="135"/>
      <c r="O20" s="251"/>
      <c r="P20" s="250"/>
      <c r="Q20" s="771"/>
      <c r="R20" s="250"/>
      <c r="S20" s="250"/>
      <c r="T20" s="135"/>
      <c r="U20" s="135"/>
    </row>
    <row r="21" spans="1:21" s="278" customFormat="1" ht="19.95" customHeight="1" x14ac:dyDescent="0.2">
      <c r="A21" s="305"/>
      <c r="B21" s="649"/>
      <c r="C21" s="647"/>
      <c r="D21" s="647"/>
      <c r="E21" s="647"/>
      <c r="F21" s="647"/>
      <c r="G21" s="647"/>
      <c r="H21" s="647"/>
      <c r="I21" s="647"/>
      <c r="J21" s="647"/>
      <c r="K21" s="647"/>
      <c r="L21" s="648"/>
      <c r="M21" s="252"/>
      <c r="N21" s="464" t="str">
        <f>IF(VLOOKUP("KM116",Languages!$A:$D,1,TRUE)="KM116",VLOOKUP("KM116",Languages!$A:$D,Summary!$C$7,TRUE),NA())</f>
        <v>EDELLINEN ARVIOINTI</v>
      </c>
      <c r="O21" s="430"/>
      <c r="P21" s="255"/>
      <c r="Q21" s="772" t="str">
        <f>IF(VLOOKUP("KM110",Languages!$A:$D,1,TRUE)="KM110",VLOOKUP("KM110",Languages!$A:$D,Summary!$C$7,TRUE),NA())</f>
        <v>Päivämäärä</v>
      </c>
      <c r="R21" s="255"/>
      <c r="S21" s="255"/>
      <c r="T21" s="147"/>
      <c r="U21" s="252"/>
    </row>
    <row r="22" spans="1:21" s="177" customFormat="1" ht="19.95" customHeight="1" x14ac:dyDescent="0.25">
      <c r="A22" s="698"/>
      <c r="B22" s="269"/>
      <c r="C22" s="170">
        <v>1</v>
      </c>
      <c r="D22" s="170" t="str">
        <f>IF(VLOOKUP(CONCATENATE($C$3,"-",C22),Languages!$A:$D,1,TRUE)=CONCATENATE($C$3,"-",C22),VLOOKUP(CONCATENATE($C$3,"-",C22),Languages!$A:$D,Summary!$C$7,TRUE),NA())</f>
        <v>Kumppaniverkoston tunnistaminen ja priorisointi</v>
      </c>
      <c r="E22" s="170"/>
      <c r="F22" s="271"/>
      <c r="G22" s="271"/>
      <c r="H22" s="272"/>
      <c r="I22" s="272"/>
      <c r="J22" s="272"/>
      <c r="K22" s="272"/>
      <c r="L22" s="154"/>
      <c r="M22" s="305"/>
      <c r="N22" s="306"/>
      <c r="O22" s="431"/>
      <c r="P22" s="426"/>
      <c r="Q22" s="697"/>
      <c r="R22" s="770"/>
      <c r="S22" s="770"/>
      <c r="T22" s="277"/>
      <c r="U22" s="305"/>
    </row>
    <row r="23" spans="1:21" s="285" customFormat="1" ht="19.95" customHeight="1" x14ac:dyDescent="0.2">
      <c r="A23" s="304"/>
      <c r="B23" s="279"/>
      <c r="C23" s="280" t="str">
        <f>IF(VLOOKUP("GEN-LEVEL",Languages!$A:$D,1,TRUE)="GEN-LEVEL",VLOOKUP("GEN-LEVEL",Languages!$A:$D,Summary!$C$7,TRUE),NA())</f>
        <v>Taso</v>
      </c>
      <c r="D23" s="280"/>
      <c r="E23" s="281" t="str">
        <f>IF(VLOOKUP("GEN-PRACTICE",Languages!$A:$D,1,TRUE)="GEN-PRACTICE",VLOOKUP("GEN-PRACTICE",Languages!$A:$D,Summary!$C$7,TRUE),NA())</f>
        <v>Käytäntö</v>
      </c>
      <c r="F23" s="282"/>
      <c r="G23" s="904" t="str">
        <f>IF(VLOOKUP("GEN-ANSWER",Languages!$A:$D,1,TRUE)="GEN-ANSWER",VLOOKUP("GEN-ANSWER",Languages!$A:$D,Summary!$C$7,TRUE),NA())</f>
        <v>Vastaus</v>
      </c>
      <c r="H23" s="905" t="str">
        <f>IF(VLOOKUP("KM112",Languages!$A:$D,1,TRUE)="KM112",VLOOKUP("KM112",Languages!$A:$D,Summary!$C$7,TRUE),NA())</f>
        <v>Kommentit</v>
      </c>
      <c r="I23" s="905" t="str">
        <f>IF(VLOOKUP("KM113",Languages!$A:$D,1,TRUE)="KM113",VLOOKUP("KM113",Languages!$A:$D,Summary!$C$7,TRUE),NA())</f>
        <v>Sisäinen viittaus</v>
      </c>
      <c r="J23" s="905" t="str">
        <f>IF(VLOOKUP("KM114",Languages!$A:$D,1,TRUE)="KM114",VLOOKUP("KM114",Languages!$A:$D,Summary!$C$7,TRUE),NA())</f>
        <v>Ulkoinen viittaus</v>
      </c>
      <c r="K23" s="905" t="str">
        <f>IF(VLOOKUP("KM115",Languages!$A:$D,1,TRUE)="KM115",VLOOKUP("KM115",Languages!$A:$D,Summary!$C$7,TRUE),NA())</f>
        <v>Kehityskohde</v>
      </c>
      <c r="L23" s="283"/>
      <c r="M23" s="284"/>
      <c r="N23" s="279"/>
      <c r="O23" s="463" t="str">
        <f>IF(VLOOKUP("GEN-ANSWER",Languages!$A:$D,1,TRUE)="GEN-ANSWER",VLOOKUP("GEN-ANSWER",Languages!$A:$D,Summary!$C$7,TRUE),NA())</f>
        <v>Vastaus</v>
      </c>
      <c r="P23" s="463" t="str">
        <f>IF(VLOOKUP("KM112",Languages!$A:$D,1,TRUE)="KM112",VLOOKUP("KM112",Languages!$A:$D,Summary!$C$7,TRUE),NA())</f>
        <v>Kommentit</v>
      </c>
      <c r="Q23" s="463" t="str">
        <f>IF(VLOOKUP("KM113",Languages!$A:$D,1,TRUE)="KM113",VLOOKUP("KM113",Languages!$A:$D,Summary!$C$7,TRUE),NA())</f>
        <v>Sisäinen viittaus</v>
      </c>
      <c r="R23" s="463" t="str">
        <f>IF(VLOOKUP("KM114",Languages!$A:$D,1,TRUE)="KM114",VLOOKUP("KM114",Languages!$A:$D,Summary!$C$7,TRUE),NA())</f>
        <v>Ulkoinen viittaus</v>
      </c>
      <c r="S23" s="463" t="str">
        <f>IF(VLOOKUP("KM115",Languages!$A:$D,1,TRUE)="KM115",VLOOKUP("KM115",Languages!$A:$D,Summary!$C$7,TRUE),NA())</f>
        <v>Kehityskohde</v>
      </c>
      <c r="T23" s="283"/>
      <c r="U23" s="284"/>
    </row>
    <row r="24" spans="1:21" s="289" customFormat="1" ht="75" customHeight="1" x14ac:dyDescent="0.2">
      <c r="A24" s="275"/>
      <c r="B24" s="1190"/>
      <c r="C24" s="1235">
        <v>1</v>
      </c>
      <c r="D24" s="387" t="s">
        <v>5</v>
      </c>
      <c r="E24" s="467" t="str">
        <f>IF(VLOOKUP(CONCATENATE($C$3,"-",$D24),Languages!$A:$D,1,TRUE)=CONCATENATE($C$3,"-",$D24),VLOOKUP(CONCATENATE($C$3,"-",$D24),Languages!$A:$D,Summary!$C$7,TRUE),NA())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24" s="386">
        <f t="shared" ref="F24:F29" si="0">IFERROR(INT(LEFT($G24,1)),0)</f>
        <v>0</v>
      </c>
      <c r="G24" s="445" t="s">
        <v>2542</v>
      </c>
      <c r="H24" s="446"/>
      <c r="I24" s="446"/>
      <c r="J24" s="446"/>
      <c r="K24" s="447"/>
      <c r="L24" s="154"/>
      <c r="M24" s="252"/>
      <c r="N24" s="149"/>
      <c r="O24" s="889" t="str">
        <f>VLOOKUP(VLOOKUP($C$3&amp;"-"&amp;$D24,Import!$C:$D,2,FALSE),Parameters!$C$18:$F$22,Summary!$C$7,FALSE)</f>
        <v xml:space="preserve">0 - Vastaus puuttuu </v>
      </c>
      <c r="P24" s="931" t="str">
        <f>IF(VLOOKUP($C$3&amp;"-"&amp;$D24,Import!$C:$H,3,FALSE)=0,"",VLOOKUP($C$3&amp;"-"&amp;$D24,Import!$C:$H,3,FALSE))</f>
        <v/>
      </c>
      <c r="Q24" s="931" t="str">
        <f>IF(VLOOKUP($C$3&amp;"-"&amp;$D24,Import!$C:$H,4,FALSE)=0,"",VLOOKUP($C$3&amp;"-"&amp;$D24,Import!$C:$H,4,FALSE))</f>
        <v/>
      </c>
      <c r="R24" s="931" t="str">
        <f>IF(VLOOKUP($C$3&amp;"-"&amp;$D24,Import!$C:$H,5,FALSE)=0,"",VLOOKUP($C$3&amp;"-"&amp;$D24,Import!$C:$H,5,FALSE))</f>
        <v/>
      </c>
      <c r="S24" s="932" t="str">
        <f>IF(VLOOKUP($C$3&amp;"-"&amp;$D24,Import!$C:$H,6,FALSE)=0,"",VLOOKUP($C$3&amp;"-"&amp;$D24,Import!$C:$H,6,FALSE))</f>
        <v/>
      </c>
      <c r="T24" s="154"/>
      <c r="U24" s="252"/>
    </row>
    <row r="25" spans="1:21" s="289" customFormat="1" ht="60" customHeight="1" x14ac:dyDescent="0.2">
      <c r="A25" s="275"/>
      <c r="B25" s="1190"/>
      <c r="C25" s="1237"/>
      <c r="D25" s="407" t="s">
        <v>7</v>
      </c>
      <c r="E25" s="474" t="str">
        <f>IF(VLOOKUP(CONCATENATE($C$3,"-",$D25),Languages!$A:$D,1,TRUE)=CONCATENATE($C$3,"-",$D25),VLOOKUP(CONCATENATE($C$3,"-",$D25),Languages!$A:$D,Summary!$C$7,TRUE),NA())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25" s="393">
        <f t="shared" si="0"/>
        <v>0</v>
      </c>
      <c r="G25" s="449" t="s">
        <v>2542</v>
      </c>
      <c r="H25" s="441"/>
      <c r="I25" s="441"/>
      <c r="J25" s="441"/>
      <c r="K25" s="450"/>
      <c r="L25" s="154"/>
      <c r="M25" s="252"/>
      <c r="N25" s="149"/>
      <c r="O25" s="897" t="str">
        <f>VLOOKUP(VLOOKUP($C$3&amp;"-"&amp;$D25,Import!$C:$D,2,FALSE),Parameters!$C$18:$F$22,Summary!$C$7,FALSE)</f>
        <v xml:space="preserve">0 - Vastaus puuttuu </v>
      </c>
      <c r="P25" s="933" t="str">
        <f>IF(VLOOKUP($C$3&amp;"-"&amp;$D25,Import!$C:$H,3,FALSE)=0,"",VLOOKUP($C$3&amp;"-"&amp;$D25,Import!$C:$H,3,FALSE))</f>
        <v/>
      </c>
      <c r="Q25" s="933" t="str">
        <f>IF(VLOOKUP($C$3&amp;"-"&amp;$D25,Import!$C:$H,4,FALSE)=0,"",VLOOKUP($C$3&amp;"-"&amp;$D25,Import!$C:$H,4,FALSE))</f>
        <v/>
      </c>
      <c r="R25" s="933" t="str">
        <f>IF(VLOOKUP($C$3&amp;"-"&amp;$D25,Import!$C:$H,5,FALSE)=0,"",VLOOKUP($C$3&amp;"-"&amp;$D25,Import!$C:$H,5,FALSE))</f>
        <v/>
      </c>
      <c r="S25" s="934" t="str">
        <f>IF(VLOOKUP($C$3&amp;"-"&amp;$D25,Import!$C:$H,6,FALSE)=0,"",VLOOKUP($C$3&amp;"-"&amp;$D25,Import!$C:$H,6,FALSE))</f>
        <v/>
      </c>
      <c r="T25" s="154"/>
      <c r="U25" s="252"/>
    </row>
    <row r="26" spans="1:21" s="289" customFormat="1" ht="60" customHeight="1" x14ac:dyDescent="0.2">
      <c r="A26" s="275"/>
      <c r="B26" s="1190"/>
      <c r="C26" s="1217">
        <v>2</v>
      </c>
      <c r="D26" s="387" t="s">
        <v>8</v>
      </c>
      <c r="E26" s="467" t="str">
        <f>IF(VLOOKUP(CONCATENATE($C$3,"-",$D26),Languages!$A:$D,1,TRUE)=CONCATENATE($C$3,"-",$D26),VLOOKUP(CONCATENATE($C$3,"-",$D26),Languages!$A:$D,Summary!$C$7,TRUE),NA())</f>
        <v>Toimittajista ja muista kumppaneista aiheutuvien riskien tunnistamiseen käytetään määriteltyjä menetelmiä.</v>
      </c>
      <c r="F26" s="386">
        <f t="shared" si="0"/>
        <v>0</v>
      </c>
      <c r="G26" s="445" t="s">
        <v>2542</v>
      </c>
      <c r="H26" s="446"/>
      <c r="I26" s="446"/>
      <c r="J26" s="446"/>
      <c r="K26" s="447"/>
      <c r="L26" s="154"/>
      <c r="M26" s="252"/>
      <c r="N26" s="149"/>
      <c r="O26" s="889" t="str">
        <f>VLOOKUP(VLOOKUP($C$3&amp;"-"&amp;$D26,Import!$C:$D,2,FALSE),Parameters!$C$18:$F$22,Summary!$C$7,FALSE)</f>
        <v xml:space="preserve">0 - Vastaus puuttuu </v>
      </c>
      <c r="P26" s="931" t="str">
        <f>IF(VLOOKUP($C$3&amp;"-"&amp;$D26,Import!$C:$H,3,FALSE)=0,"",VLOOKUP($C$3&amp;"-"&amp;$D26,Import!$C:$H,3,FALSE))</f>
        <v/>
      </c>
      <c r="Q26" s="931" t="str">
        <f>IF(VLOOKUP($C$3&amp;"-"&amp;$D26,Import!$C:$H,4,FALSE)=0,"",VLOOKUP($C$3&amp;"-"&amp;$D26,Import!$C:$H,4,FALSE))</f>
        <v/>
      </c>
      <c r="R26" s="931" t="str">
        <f>IF(VLOOKUP($C$3&amp;"-"&amp;$D26,Import!$C:$H,5,FALSE)=0,"",VLOOKUP($C$3&amp;"-"&amp;$D26,Import!$C:$H,5,FALSE))</f>
        <v/>
      </c>
      <c r="S26" s="932" t="str">
        <f>IF(VLOOKUP($C$3&amp;"-"&amp;$D26,Import!$C:$H,6,FALSE)=0,"",VLOOKUP($C$3&amp;"-"&amp;$D26,Import!$C:$H,6,FALSE))</f>
        <v/>
      </c>
      <c r="T26" s="154"/>
      <c r="U26" s="252"/>
    </row>
    <row r="27" spans="1:21" s="289" customFormat="1" ht="72" customHeight="1" x14ac:dyDescent="0.2">
      <c r="A27" s="275"/>
      <c r="B27" s="1190"/>
      <c r="C27" s="1219"/>
      <c r="D27" s="407" t="s">
        <v>9</v>
      </c>
      <c r="E27" s="472" t="str">
        <f>IF(VLOOKUP(CONCATENATE($C$3,"-",$D27),Languages!$A:$D,1,TRUE)=CONCATENATE($C$3,"-",$D27),VLOOKUP(CONCATENATE($C$3,"-",$D27),Languages!$A:$D,Summary!$C$7,TRUE),NA())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F27" s="393">
        <f t="shared" si="0"/>
        <v>0</v>
      </c>
      <c r="G27" s="449" t="s">
        <v>2542</v>
      </c>
      <c r="H27" s="441"/>
      <c r="I27" s="441"/>
      <c r="J27" s="441"/>
      <c r="K27" s="450"/>
      <c r="L27" s="154"/>
      <c r="M27" s="252"/>
      <c r="N27" s="149"/>
      <c r="O27" s="897" t="str">
        <f>VLOOKUP(VLOOKUP($C$3&amp;"-"&amp;$D27,Import!$C:$D,2,FALSE),Parameters!$C$18:$F$22,Summary!$C$7,FALSE)</f>
        <v xml:space="preserve">0 - Vastaus puuttuu </v>
      </c>
      <c r="P27" s="933" t="str">
        <f>IF(VLOOKUP($C$3&amp;"-"&amp;$D27,Import!$C:$H,3,FALSE)=0,"",VLOOKUP($C$3&amp;"-"&amp;$D27,Import!$C:$H,3,FALSE))</f>
        <v/>
      </c>
      <c r="Q27" s="933" t="str">
        <f>IF(VLOOKUP($C$3&amp;"-"&amp;$D27,Import!$C:$H,4,FALSE)=0,"",VLOOKUP($C$3&amp;"-"&amp;$D27,Import!$C:$H,4,FALSE))</f>
        <v/>
      </c>
      <c r="R27" s="933" t="str">
        <f>IF(VLOOKUP($C$3&amp;"-"&amp;$D27,Import!$C:$H,5,FALSE)=0,"",VLOOKUP($C$3&amp;"-"&amp;$D27,Import!$C:$H,5,FALSE))</f>
        <v/>
      </c>
      <c r="S27" s="934" t="str">
        <f>IF(VLOOKUP($C$3&amp;"-"&amp;$D27,Import!$C:$H,6,FALSE)=0,"",VLOOKUP($C$3&amp;"-"&amp;$D27,Import!$C:$H,6,FALSE))</f>
        <v/>
      </c>
      <c r="T27" s="154"/>
      <c r="U27" s="252"/>
    </row>
    <row r="28" spans="1:21" s="289" customFormat="1" ht="72" customHeight="1" x14ac:dyDescent="0.2">
      <c r="A28" s="275"/>
      <c r="B28" s="1190"/>
      <c r="C28" s="1019"/>
      <c r="D28" s="1028" t="s">
        <v>10</v>
      </c>
      <c r="E28" s="496" t="str">
        <f>IF(VLOOKUP(CONCATENATE($C$3,"-",$D28),Languages!$A:$D,1,TRUE)=CONCATENATE($C$3,"-",$D28),VLOOKUP(CONCATENATE($C$3,"-",$D28),Languages!$A:$D,Summary!$C$7,TRUE),NA())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28" s="393">
        <f t="shared" si="0"/>
        <v>0</v>
      </c>
      <c r="G28" s="492" t="s">
        <v>2542</v>
      </c>
      <c r="H28" s="1029"/>
      <c r="I28" s="1029"/>
      <c r="J28" s="1029"/>
      <c r="K28" s="1030"/>
      <c r="L28" s="154"/>
      <c r="M28" s="252"/>
      <c r="N28" s="149"/>
      <c r="O28" s="897" t="str">
        <f>VLOOKUP(VLOOKUP($C$3&amp;"-"&amp;$D28,Import!$C:$D,2,FALSE),Parameters!$C$18:$F$22,Summary!$C$7,FALSE)</f>
        <v xml:space="preserve">0 - Vastaus puuttuu </v>
      </c>
      <c r="P28" s="933" t="str">
        <f>IF(VLOOKUP($C$3&amp;"-"&amp;$D28,Import!$C:$H,3,FALSE)=0,"",VLOOKUP($C$3&amp;"-"&amp;$D28,Import!$C:$H,3,FALSE))</f>
        <v/>
      </c>
      <c r="Q28" s="933" t="str">
        <f>IF(VLOOKUP($C$3&amp;"-"&amp;$D28,Import!$C:$H,4,FALSE)=0,"",VLOOKUP($C$3&amp;"-"&amp;$D28,Import!$C:$H,4,FALSE))</f>
        <v/>
      </c>
      <c r="R28" s="933" t="str">
        <f>IF(VLOOKUP($C$3&amp;"-"&amp;$D28,Import!$C:$H,5,FALSE)=0,"",VLOOKUP($C$3&amp;"-"&amp;$D28,Import!$C:$H,5,FALSE))</f>
        <v/>
      </c>
      <c r="S28" s="934" t="str">
        <f>IF(VLOOKUP($C$3&amp;"-"&amp;$D28,Import!$C:$H,6,FALSE)=0,"",VLOOKUP($C$3&amp;"-"&amp;$D28,Import!$C:$H,6,FALSE))</f>
        <v/>
      </c>
      <c r="T28" s="154"/>
      <c r="U28" s="252"/>
    </row>
    <row r="29" spans="1:21" s="289" customFormat="1" ht="45" customHeight="1" x14ac:dyDescent="0.2">
      <c r="A29" s="275"/>
      <c r="B29" s="1190"/>
      <c r="C29" s="527">
        <v>3</v>
      </c>
      <c r="D29" s="414" t="s">
        <v>11</v>
      </c>
      <c r="E29" s="496" t="str">
        <f>IF(VLOOKUP(CONCATENATE($C$3,"-",$D29),Languages!$A:$D,1,TRUE)=CONCATENATE($C$3,"-",$D29),VLOOKUP(CONCATENATE($C$3,"-",$D29),Languages!$A:$D,Summary!$C$7,TRUE),NA())</f>
        <v>Toimittajien ja muiden kumppaniverkoston toimijoiden priorisointia päivitetään aika ajoin ja määriteltyjen tilanteiden kuten järjestelmämuutosten tai ulkoisten tapahtumien yhteydessä.</v>
      </c>
      <c r="F29" s="391">
        <f t="shared" si="0"/>
        <v>0</v>
      </c>
      <c r="G29" s="456" t="s">
        <v>2542</v>
      </c>
      <c r="H29" s="454"/>
      <c r="I29" s="454"/>
      <c r="J29" s="454"/>
      <c r="K29" s="455"/>
      <c r="L29" s="154"/>
      <c r="M29" s="252"/>
      <c r="N29" s="149"/>
      <c r="O29" s="886" t="str">
        <f>VLOOKUP(VLOOKUP($C$3&amp;"-"&amp;$D29,Import!$C:$D,2,FALSE),Parameters!$C$18:$F$22,Summary!$C$7,FALSE)</f>
        <v xml:space="preserve">0 - Vastaus puuttuu </v>
      </c>
      <c r="P29" s="925" t="str">
        <f>IF(VLOOKUP($C$3&amp;"-"&amp;$D29,Import!$C:$H,3,FALSE)=0,"",VLOOKUP($C$3&amp;"-"&amp;$D29,Import!$C:$H,3,FALSE))</f>
        <v/>
      </c>
      <c r="Q29" s="925" t="str">
        <f>IF(VLOOKUP($C$3&amp;"-"&amp;$D29,Import!$C:$H,4,FALSE)=0,"",VLOOKUP($C$3&amp;"-"&amp;$D29,Import!$C:$H,4,FALSE))</f>
        <v/>
      </c>
      <c r="R29" s="925" t="str">
        <f>IF(VLOOKUP($C$3&amp;"-"&amp;$D29,Import!$C:$H,5,FALSE)=0,"",VLOOKUP($C$3&amp;"-"&amp;$D29,Import!$C:$H,5,FALSE))</f>
        <v/>
      </c>
      <c r="S29" s="926" t="str">
        <f>IF(VLOOKUP($C$3&amp;"-"&amp;$D29,Import!$C:$H,6,FALSE)=0,"",VLOOKUP($C$3&amp;"-"&amp;$D29,Import!$C:$H,6,FALSE))</f>
        <v/>
      </c>
      <c r="T29" s="154"/>
      <c r="U29" s="252"/>
    </row>
    <row r="30" spans="1:21" s="177" customFormat="1" ht="30" customHeight="1" x14ac:dyDescent="0.25">
      <c r="A30" s="166"/>
      <c r="B30" s="269"/>
      <c r="C30" s="170">
        <v>2</v>
      </c>
      <c r="D30" s="170" t="str">
        <f>IF(VLOOKUP(CONCATENATE($C$3,"-",C30),Languages!$A:$D,1,TRUE)=CONCATENATE($C$3,"-",C30),VLOOKUP(CONCATENATE($C$3,"-",C30),Languages!$A:$D,Summary!$C$7,TRUE),NA())</f>
        <v>Kumppaniverkostoon liittyvien riskien hallinta</v>
      </c>
      <c r="E30" s="170"/>
      <c r="F30" s="292"/>
      <c r="G30" s="907"/>
      <c r="H30" s="929"/>
      <c r="I30" s="929"/>
      <c r="J30" s="929"/>
      <c r="K30" s="929"/>
      <c r="L30" s="154"/>
      <c r="M30" s="252"/>
      <c r="N30" s="149"/>
      <c r="O30" s="292"/>
      <c r="P30" s="293"/>
      <c r="Q30" s="293"/>
      <c r="R30" s="293"/>
      <c r="S30" s="293"/>
      <c r="T30" s="154"/>
      <c r="U30" s="252"/>
    </row>
    <row r="31" spans="1:21" s="285" customFormat="1" ht="19.95" customHeight="1" x14ac:dyDescent="0.2">
      <c r="A31" s="304"/>
      <c r="B31" s="279"/>
      <c r="C31" s="280" t="str">
        <f>IF(VLOOKUP("GEN-LEVEL",Languages!$A:$D,1,TRUE)="GEN-LEVEL",VLOOKUP("GEN-LEVEL",Languages!$A:$D,Summary!$C$7,TRUE),NA())</f>
        <v>Taso</v>
      </c>
      <c r="D31" s="280"/>
      <c r="E31" s="281" t="str">
        <f>IF(VLOOKUP("GEN-PRACTICE",Languages!$A:$D,1,TRUE)="GEN-PRACTICE",VLOOKUP("GEN-PRACTICE",Languages!$A:$D,Summary!$C$7,TRUE),NA())</f>
        <v>Käytäntö</v>
      </c>
      <c r="F31" s="282"/>
      <c r="G31" s="904" t="str">
        <f>IF(VLOOKUP("GEN-ANSWER",Languages!$A:$D,1,TRUE)="GEN-ANSWER",VLOOKUP("GEN-ANSWER",Languages!$A:$D,Summary!$C$7,TRUE),NA())</f>
        <v>Vastaus</v>
      </c>
      <c r="H31" s="905" t="str">
        <f>IF(VLOOKUP("KM112",Languages!$A:$D,1,TRUE)="KM112",VLOOKUP("KM112",Languages!$A:$D,Summary!$C$7,TRUE),NA())</f>
        <v>Kommentit</v>
      </c>
      <c r="I31" s="905" t="str">
        <f>IF(VLOOKUP("KM113",Languages!$A:$D,1,TRUE)="KM113",VLOOKUP("KM113",Languages!$A:$D,Summary!$C$7,TRUE),NA())</f>
        <v>Sisäinen viittaus</v>
      </c>
      <c r="J31" s="905" t="str">
        <f>IF(VLOOKUP("KM114",Languages!$A:$D,1,TRUE)="KM114",VLOOKUP("KM114",Languages!$A:$D,Summary!$C$7,TRUE),NA())</f>
        <v>Ulkoinen viittaus</v>
      </c>
      <c r="K31" s="905" t="str">
        <f>IF(VLOOKUP("KM115",Languages!$A:$D,1,TRUE)="KM115",VLOOKUP("KM115",Languages!$A:$D,Summary!$C$7,TRUE),NA())</f>
        <v>Kehityskohde</v>
      </c>
      <c r="L31" s="283"/>
      <c r="M31" s="284"/>
      <c r="N31" s="279"/>
      <c r="O31" s="463" t="str">
        <f>IF(VLOOKUP("GEN-ANSWER",Languages!$A:$D,1,TRUE)="GEN-ANSWER",VLOOKUP("GEN-ANSWER",Languages!$A:$D,Summary!$C$7,TRUE),NA())</f>
        <v>Vastaus</v>
      </c>
      <c r="P31" s="463" t="str">
        <f>IF(VLOOKUP("KM112",Languages!$A:$D,1,TRUE)="KM112",VLOOKUP("KM112",Languages!$A:$D,Summary!$C$7,TRUE),NA())</f>
        <v>Kommentit</v>
      </c>
      <c r="Q31" s="463" t="str">
        <f>IF(VLOOKUP("KM113",Languages!$A:$D,1,TRUE)="KM113",VLOOKUP("KM113",Languages!$A:$D,Summary!$C$7,TRUE),NA())</f>
        <v>Sisäinen viittaus</v>
      </c>
      <c r="R31" s="463" t="str">
        <f>IF(VLOOKUP("KM114",Languages!$A:$D,1,TRUE)="KM114",VLOOKUP("KM114",Languages!$A:$D,Summary!$C$7,TRUE),NA())</f>
        <v>Ulkoinen viittaus</v>
      </c>
      <c r="S31" s="463" t="str">
        <f>IF(VLOOKUP("KM115",Languages!$A:$D,1,TRUE)="KM115",VLOOKUP("KM115",Languages!$A:$D,Summary!$C$7,TRUE),NA())</f>
        <v>Kehityskohde</v>
      </c>
      <c r="T31" s="283"/>
      <c r="U31" s="284"/>
    </row>
    <row r="32" spans="1:21" s="296" customFormat="1" ht="45" customHeight="1" x14ac:dyDescent="0.2">
      <c r="A32" s="305"/>
      <c r="B32" s="1199"/>
      <c r="C32" s="1214">
        <v>1</v>
      </c>
      <c r="D32" s="395" t="s">
        <v>17</v>
      </c>
      <c r="E32" s="467" t="str">
        <f>IF(VLOOKUP(CONCATENATE($C$3,"-",$D32),Languages!$A:$D,1,TRUE)=CONCATENATE($C$3,"-",$D32),VLOOKUP(CONCATENATE($C$3,"-",$D32),Languages!$A:$D,Summary!$C$7,TRUE),NA())</f>
        <v>Toimittajien ja muiden kumppaniverkoston toimijoiden valintaan vaikuttaa arvio niiden kyberturvallisuuskelpoisuuksista. Tasolla 1 tämän ei tarvitse olla systemaattista ja säännöllistä.</v>
      </c>
      <c r="F32" s="386">
        <f t="shared" ref="F32:F44" si="1">IFERROR(INT(LEFT($G32,1)),0)</f>
        <v>0</v>
      </c>
      <c r="G32" s="445" t="s">
        <v>2542</v>
      </c>
      <c r="H32" s="446"/>
      <c r="I32" s="446"/>
      <c r="J32" s="446"/>
      <c r="K32" s="447"/>
      <c r="L32" s="154"/>
      <c r="M32" s="252"/>
      <c r="N32" s="149"/>
      <c r="O32" s="889" t="str">
        <f>VLOOKUP(VLOOKUP($C$3&amp;"-"&amp;$D32,Import!$C:$D,2,FALSE),Parameters!$C$18:$F$22,Summary!$C$7,FALSE)</f>
        <v xml:space="preserve">0 - Vastaus puuttuu </v>
      </c>
      <c r="P32" s="931" t="str">
        <f>IF(VLOOKUP($C$3&amp;"-"&amp;$D32,Import!$C:$H,3,FALSE)=0,"",VLOOKUP($C$3&amp;"-"&amp;$D32,Import!$C:$H,3,FALSE))</f>
        <v/>
      </c>
      <c r="Q32" s="931" t="str">
        <f>IF(VLOOKUP($C$3&amp;"-"&amp;$D32,Import!$C:$H,4,FALSE)=0,"",VLOOKUP($C$3&amp;"-"&amp;$D32,Import!$C:$H,4,FALSE))</f>
        <v/>
      </c>
      <c r="R32" s="931" t="str">
        <f>IF(VLOOKUP($C$3&amp;"-"&amp;$D32,Import!$C:$H,5,FALSE)=0,"",VLOOKUP($C$3&amp;"-"&amp;$D32,Import!$C:$H,5,FALSE))</f>
        <v/>
      </c>
      <c r="S32" s="932" t="str">
        <f>IF(VLOOKUP($C$3&amp;"-"&amp;$D32,Import!$C:$H,6,FALSE)=0,"",VLOOKUP($C$3&amp;"-"&amp;$D32,Import!$C:$H,6,FALSE))</f>
        <v/>
      </c>
      <c r="T32" s="154"/>
      <c r="U32" s="252"/>
    </row>
    <row r="33" spans="1:21" s="296" customFormat="1" ht="45" customHeight="1" x14ac:dyDescent="0.2">
      <c r="A33" s="305"/>
      <c r="B33" s="1199"/>
      <c r="C33" s="1215"/>
      <c r="D33" s="396" t="s">
        <v>18</v>
      </c>
      <c r="E33" s="474" t="str">
        <f>IF(VLOOKUP(CONCATENATE($C$3,"-",$D33),Languages!$A:$D,1,TRUE)=CONCATENATE($C$3,"-",$D33),VLOOKUP(CONCATENATE($C$3,"-",$D33),Languages!$A:$D,Summary!$C$7,TRUE),NA())</f>
        <v>Tuotteiden ja palveluiden valintaan vaikuttaa arvio niiden kyberkyvykkyyksistä. Tasolla 1 tämän ei tarvitse olla systemaattista ja säännöllistä.</v>
      </c>
      <c r="F33" s="393">
        <f t="shared" si="1"/>
        <v>0</v>
      </c>
      <c r="G33" s="449" t="s">
        <v>2542</v>
      </c>
      <c r="H33" s="444"/>
      <c r="I33" s="444"/>
      <c r="J33" s="444"/>
      <c r="K33" s="453"/>
      <c r="L33" s="154"/>
      <c r="M33" s="252"/>
      <c r="N33" s="149"/>
      <c r="O33" s="897" t="str">
        <f>VLOOKUP(VLOOKUP($C$3&amp;"-"&amp;$D33,Import!$C:$D,2,FALSE),Parameters!$C$18:$F$22,Summary!$C$7,FALSE)</f>
        <v xml:space="preserve">0 - Vastaus puuttuu </v>
      </c>
      <c r="P33" s="923" t="str">
        <f>IF(VLOOKUP($C$3&amp;"-"&amp;$D33,Import!$C:$H,3,FALSE)=0,"",VLOOKUP($C$3&amp;"-"&amp;$D33,Import!$C:$H,3,FALSE))</f>
        <v/>
      </c>
      <c r="Q33" s="923" t="str">
        <f>IF(VLOOKUP($C$3&amp;"-"&amp;$D33,Import!$C:$H,4,FALSE)=0,"",VLOOKUP($C$3&amp;"-"&amp;$D33,Import!$C:$H,4,FALSE))</f>
        <v/>
      </c>
      <c r="R33" s="923" t="str">
        <f>IF(VLOOKUP($C$3&amp;"-"&amp;$D33,Import!$C:$H,5,FALSE)=0,"",VLOOKUP($C$3&amp;"-"&amp;$D33,Import!$C:$H,5,FALSE))</f>
        <v/>
      </c>
      <c r="S33" s="924" t="str">
        <f>IF(VLOOKUP($C$3&amp;"-"&amp;$D33,Import!$C:$H,6,FALSE)=0,"",VLOOKUP($C$3&amp;"-"&amp;$D33,Import!$C:$H,6,FALSE))</f>
        <v/>
      </c>
      <c r="T33" s="154"/>
      <c r="U33" s="252"/>
    </row>
    <row r="34" spans="1:21" s="296" customFormat="1" ht="60" customHeight="1" x14ac:dyDescent="0.2">
      <c r="A34" s="305"/>
      <c r="B34" s="297"/>
      <c r="C34" s="1207">
        <v>2</v>
      </c>
      <c r="D34" s="395" t="s">
        <v>19</v>
      </c>
      <c r="E34" s="467" t="str">
        <f>IF(VLOOKUP(CONCATENATE($C$3,"-",$D34),Languages!$A:$D,1,TRUE)=CONCATENATE($C$3,"-",$D34),VLOOKUP(CONCATENATE($C$3,"-",$D34),Languages!$A:$D,Summary!$C$7,TRUE),NA())</f>
        <v>Määriteltyjä menetelmiä noudatetaan, kun tunnistetaan kyberturvallisuusvaatimuksia ja toteutetaan niihin liittyviä suojaustoimia, joilla suojaudutaan toimittajista ja kumppaniverkoston toimijoista aiheutuvilta riskeiltä.</v>
      </c>
      <c r="F34" s="386">
        <f t="shared" si="1"/>
        <v>0</v>
      </c>
      <c r="G34" s="445" t="s">
        <v>2542</v>
      </c>
      <c r="H34" s="442"/>
      <c r="I34" s="442"/>
      <c r="J34" s="442"/>
      <c r="K34" s="451"/>
      <c r="L34" s="154"/>
      <c r="M34" s="252"/>
      <c r="N34" s="149"/>
      <c r="O34" s="889" t="str">
        <f>VLOOKUP(VLOOKUP($C$3&amp;"-"&amp;$D34,Import!$C:$D,2,FALSE),Parameters!$C$18:$F$22,Summary!$C$7,FALSE)</f>
        <v xml:space="preserve">0 - Vastaus puuttuu </v>
      </c>
      <c r="P34" s="921" t="str">
        <f>IF(VLOOKUP($C$3&amp;"-"&amp;$D34,Import!$C:$H,3,FALSE)=0,"",VLOOKUP($C$3&amp;"-"&amp;$D34,Import!$C:$H,3,FALSE))</f>
        <v/>
      </c>
      <c r="Q34" s="921" t="str">
        <f>IF(VLOOKUP($C$3&amp;"-"&amp;$D34,Import!$C:$H,4,FALSE)=0,"",VLOOKUP($C$3&amp;"-"&amp;$D34,Import!$C:$H,4,FALSE))</f>
        <v/>
      </c>
      <c r="R34" s="921" t="str">
        <f>IF(VLOOKUP($C$3&amp;"-"&amp;$D34,Import!$C:$H,5,FALSE)=0,"",VLOOKUP($C$3&amp;"-"&amp;$D34,Import!$C:$H,5,FALSE))</f>
        <v/>
      </c>
      <c r="S34" s="922" t="str">
        <f>IF(VLOOKUP($C$3&amp;"-"&amp;$D34,Import!$C:$H,6,FALSE)=0,"",VLOOKUP($C$3&amp;"-"&amp;$D34,Import!$C:$H,6,FALSE))</f>
        <v/>
      </c>
      <c r="T34" s="154"/>
      <c r="U34" s="252"/>
    </row>
    <row r="35" spans="1:21" s="296" customFormat="1" ht="34.950000000000003" customHeight="1" x14ac:dyDescent="0.2">
      <c r="A35" s="305"/>
      <c r="B35" s="297"/>
      <c r="C35" s="1212"/>
      <c r="D35" s="294" t="s">
        <v>20</v>
      </c>
      <c r="E35" s="468" t="str">
        <f>IF(VLOOKUP(CONCATENATE($C$3,"-",$D35),Languages!$A:$D,1,TRUE)=CONCATENATE($C$3,"-",$D35),VLOOKUP(CONCATENATE($C$3,"-",$D35),Languages!$A:$D,Summary!$C$7,TRUE),NA())</f>
        <v>Määriteltyjä menetelmiä noudatetaan, kun arvioidaan ja valitaan toimittajia ja muita kumppaniverkoston toimijoita.</v>
      </c>
      <c r="F35" s="287">
        <f t="shared" si="1"/>
        <v>0</v>
      </c>
      <c r="G35" s="307" t="s">
        <v>2542</v>
      </c>
      <c r="H35" s="443"/>
      <c r="I35" s="443"/>
      <c r="J35" s="443"/>
      <c r="K35" s="452"/>
      <c r="L35" s="154"/>
      <c r="M35" s="252"/>
      <c r="N35" s="149"/>
      <c r="O35" s="892" t="str">
        <f>VLOOKUP(VLOOKUP($C$3&amp;"-"&amp;$D35,Import!$C:$D,2,FALSE),Parameters!$C$18:$F$22,Summary!$C$7,FALSE)</f>
        <v xml:space="preserve">0 - Vastaus puuttuu </v>
      </c>
      <c r="P35" s="916" t="str">
        <f>IF(VLOOKUP($C$3&amp;"-"&amp;$D35,Import!$C:$H,3,FALSE)=0,"",VLOOKUP($C$3&amp;"-"&amp;$D35,Import!$C:$H,3,FALSE))</f>
        <v/>
      </c>
      <c r="Q35" s="916" t="str">
        <f>IF(VLOOKUP($C$3&amp;"-"&amp;$D35,Import!$C:$H,4,FALSE)=0,"",VLOOKUP($C$3&amp;"-"&amp;$D35,Import!$C:$H,4,FALSE))</f>
        <v/>
      </c>
      <c r="R35" s="916" t="str">
        <f>IF(VLOOKUP($C$3&amp;"-"&amp;$D35,Import!$C:$H,5,FALSE)=0,"",VLOOKUP($C$3&amp;"-"&amp;$D35,Import!$C:$H,5,FALSE))</f>
        <v/>
      </c>
      <c r="S35" s="917" t="str">
        <f>IF(VLOOKUP($C$3&amp;"-"&amp;$D35,Import!$C:$H,6,FALSE)=0,"",VLOOKUP($C$3&amp;"-"&amp;$D35,Import!$C:$H,6,FALSE))</f>
        <v/>
      </c>
      <c r="T35" s="154"/>
      <c r="U35" s="252"/>
    </row>
    <row r="36" spans="1:21" s="296" customFormat="1" ht="34.950000000000003" customHeight="1" x14ac:dyDescent="0.2">
      <c r="A36" s="305"/>
      <c r="B36" s="297"/>
      <c r="C36" s="1212"/>
      <c r="D36" s="294" t="s">
        <v>21</v>
      </c>
      <c r="E36" s="468" t="str">
        <f>IF(VLOOKUP(CONCATENATE($C$3,"-",$D36),Languages!$A:$D,1,TRUE)=CONCATENATE($C$3,"-",$D36),VLOOKUP(CONCATENATE($C$3,"-",$D36),Languages!$A:$D,Summary!$C$7,TRUE),NA())</f>
        <v>Tiukempia suojaustoimia toteutetaan korkean prioriteetin toimittajille ja muille kumppaniverkoston toimijoille.</v>
      </c>
      <c r="F36" s="287">
        <f t="shared" si="1"/>
        <v>0</v>
      </c>
      <c r="G36" s="307" t="s">
        <v>2542</v>
      </c>
      <c r="H36" s="443"/>
      <c r="I36" s="443"/>
      <c r="J36" s="443"/>
      <c r="K36" s="452"/>
      <c r="L36" s="154"/>
      <c r="M36" s="252"/>
      <c r="N36" s="149"/>
      <c r="O36" s="892" t="str">
        <f>VLOOKUP(VLOOKUP($C$3&amp;"-"&amp;$D36,Import!$C:$D,2,FALSE),Parameters!$C$18:$F$22,Summary!$C$7,FALSE)</f>
        <v xml:space="preserve">0 - Vastaus puuttuu </v>
      </c>
      <c r="P36" s="916" t="str">
        <f>IF(VLOOKUP($C$3&amp;"-"&amp;$D36,Import!$C:$H,3,FALSE)=0,"",VLOOKUP($C$3&amp;"-"&amp;$D36,Import!$C:$H,3,FALSE))</f>
        <v/>
      </c>
      <c r="Q36" s="916" t="str">
        <f>IF(VLOOKUP($C$3&amp;"-"&amp;$D36,Import!$C:$H,4,FALSE)=0,"",VLOOKUP($C$3&amp;"-"&amp;$D36,Import!$C:$H,4,FALSE))</f>
        <v/>
      </c>
      <c r="R36" s="916" t="str">
        <f>IF(VLOOKUP($C$3&amp;"-"&amp;$D36,Import!$C:$H,5,FALSE)=0,"",VLOOKUP($C$3&amp;"-"&amp;$D36,Import!$C:$H,5,FALSE))</f>
        <v/>
      </c>
      <c r="S36" s="917" t="str">
        <f>IF(VLOOKUP($C$3&amp;"-"&amp;$D36,Import!$C:$H,6,FALSE)=0,"",VLOOKUP($C$3&amp;"-"&amp;$D36,Import!$C:$H,6,FALSE))</f>
        <v/>
      </c>
      <c r="T36" s="154"/>
      <c r="U36" s="252"/>
    </row>
    <row r="37" spans="1:21" s="296" customFormat="1" ht="42.6" customHeight="1" x14ac:dyDescent="0.2">
      <c r="A37" s="305"/>
      <c r="B37" s="297"/>
      <c r="C37" s="1212"/>
      <c r="D37" s="294" t="s">
        <v>103</v>
      </c>
      <c r="E37" s="468" t="str">
        <f>IF(VLOOKUP(CONCATENATE($C$3,"-",$D37),Languages!$A:$D,1,TRUE)=CONCATENATE($C$3,"-",$D37),VLOOKUP(CONCATENATE($C$3,"-",$D37),Languages!$A:$D,Summary!$C$7,TRUE),NA())</f>
        <v>Kyberturvallisuusvaatimukset (esimerkiksi haavoittuvuus tiedotus, häiriötapausten SLA vaatimukset) ovat osa toimittajien ja muiden kumppaniverkoston toimijoiden kanssa laadittavia sopimuksia.</v>
      </c>
      <c r="F37" s="287">
        <f t="shared" si="1"/>
        <v>0</v>
      </c>
      <c r="G37" s="307" t="s">
        <v>2542</v>
      </c>
      <c r="H37" s="443"/>
      <c r="I37" s="443"/>
      <c r="J37" s="443"/>
      <c r="K37" s="452"/>
      <c r="L37" s="154"/>
      <c r="M37" s="252"/>
      <c r="N37" s="149"/>
      <c r="O37" s="892" t="str">
        <f>VLOOKUP(VLOOKUP($C$3&amp;"-"&amp;$D37,Import!$C:$D,2,FALSE),Parameters!$C$18:$F$22,Summary!$C$7,FALSE)</f>
        <v xml:space="preserve">0 - Vastaus puuttuu </v>
      </c>
      <c r="P37" s="916" t="str">
        <f>IF(VLOOKUP($C$3&amp;"-"&amp;$D37,Import!$C:$H,3,FALSE)=0,"",VLOOKUP($C$3&amp;"-"&amp;$D37,Import!$C:$H,3,FALSE))</f>
        <v/>
      </c>
      <c r="Q37" s="916" t="str">
        <f>IF(VLOOKUP($C$3&amp;"-"&amp;$D37,Import!$C:$H,4,FALSE)=0,"",VLOOKUP($C$3&amp;"-"&amp;$D37,Import!$C:$H,4,FALSE))</f>
        <v/>
      </c>
      <c r="R37" s="916" t="str">
        <f>IF(VLOOKUP($C$3&amp;"-"&amp;$D37,Import!$C:$H,5,FALSE)=0,"",VLOOKUP($C$3&amp;"-"&amp;$D37,Import!$C:$H,5,FALSE))</f>
        <v/>
      </c>
      <c r="S37" s="917" t="str">
        <f>IF(VLOOKUP($C$3&amp;"-"&amp;$D37,Import!$C:$H,6,FALSE)=0,"",VLOOKUP($C$3&amp;"-"&amp;$D37,Import!$C:$H,6,FALSE))</f>
        <v/>
      </c>
      <c r="T37" s="154"/>
      <c r="U37" s="252"/>
    </row>
    <row r="38" spans="1:21" s="296" customFormat="1" ht="34.950000000000003" customHeight="1" x14ac:dyDescent="0.2">
      <c r="A38" s="305"/>
      <c r="B38" s="297"/>
      <c r="C38" s="1208"/>
      <c r="D38" s="396" t="s">
        <v>165</v>
      </c>
      <c r="E38" s="474" t="str">
        <f>IF(VLOOKUP(CONCATENATE($C$3,"-",$D38),Languages!$A:$D,1,TRUE)=CONCATENATE($C$3,"-",$D38),VLOOKUP(CONCATENATE($C$3,"-",$D38),Languages!$A:$D,Summary!$C$7,TRUE),NA())</f>
        <v>Toimittajat ja muut kumppaniverkoston toimijat osoittavat aika ajoin kykynsä täyttää asetetut kyberturvallisuusvaatimukset.</v>
      </c>
      <c r="F38" s="393">
        <f t="shared" si="1"/>
        <v>0</v>
      </c>
      <c r="G38" s="449" t="s">
        <v>2542</v>
      </c>
      <c r="H38" s="444"/>
      <c r="I38" s="444"/>
      <c r="J38" s="444"/>
      <c r="K38" s="453"/>
      <c r="L38" s="154"/>
      <c r="M38" s="252"/>
      <c r="N38" s="149"/>
      <c r="O38" s="897" t="str">
        <f>VLOOKUP(VLOOKUP($C$3&amp;"-"&amp;$D38,Import!$C:$D,2,FALSE),Parameters!$C$18:$F$22,Summary!$C$7,FALSE)</f>
        <v xml:space="preserve">0 - Vastaus puuttuu </v>
      </c>
      <c r="P38" s="923" t="str">
        <f>IF(VLOOKUP($C$3&amp;"-"&amp;$D38,Import!$C:$H,3,FALSE)=0,"",VLOOKUP($C$3&amp;"-"&amp;$D38,Import!$C:$H,3,FALSE))</f>
        <v/>
      </c>
      <c r="Q38" s="923" t="str">
        <f>IF(VLOOKUP($C$3&amp;"-"&amp;$D38,Import!$C:$H,4,FALSE)=0,"",VLOOKUP($C$3&amp;"-"&amp;$D38,Import!$C:$H,4,FALSE))</f>
        <v/>
      </c>
      <c r="R38" s="923" t="str">
        <f>IF(VLOOKUP($C$3&amp;"-"&amp;$D38,Import!$C:$H,5,FALSE)=0,"",VLOOKUP($C$3&amp;"-"&amp;$D38,Import!$C:$H,5,FALSE))</f>
        <v/>
      </c>
      <c r="S38" s="924" t="str">
        <f>IF(VLOOKUP($C$3&amp;"-"&amp;$D38,Import!$C:$H,6,FALSE)=0,"",VLOOKUP($C$3&amp;"-"&amp;$D38,Import!$C:$H,6,FALSE))</f>
        <v/>
      </c>
      <c r="T38" s="154"/>
      <c r="U38" s="252"/>
    </row>
    <row r="39" spans="1:21" s="296" customFormat="1" ht="45" customHeight="1" x14ac:dyDescent="0.2">
      <c r="A39" s="305"/>
      <c r="B39" s="297"/>
      <c r="C39" s="1209">
        <v>3</v>
      </c>
      <c r="D39" s="395" t="s">
        <v>167</v>
      </c>
      <c r="E39" s="467" t="str">
        <f>IF(VLOOKUP(CONCATENATE($C$3,"-",$D39),Languages!$A:$D,1,TRUE)=CONCATENATE($C$3,"-",$D39),VLOOKUP(CONCATENATE($C$3,"-",$D39),Languages!$A:$D,Summary!$C$7,TRUE),NA())</f>
        <v>Toimittajille ja muille kumppaniverkoston toimijoille asetetut kyberturvallisuusvaatimukset sisältävät soveltuvin osin vaatimuksia turvallisesta ohjelmisto- ja tuotekehityksestä.</v>
      </c>
      <c r="F39" s="386">
        <f t="shared" si="1"/>
        <v>0</v>
      </c>
      <c r="G39" s="445" t="s">
        <v>2542</v>
      </c>
      <c r="H39" s="442"/>
      <c r="I39" s="442"/>
      <c r="J39" s="442"/>
      <c r="K39" s="451"/>
      <c r="L39" s="154"/>
      <c r="M39" s="252"/>
      <c r="N39" s="149"/>
      <c r="O39" s="889" t="str">
        <f>VLOOKUP(VLOOKUP($C$3&amp;"-"&amp;$D39,Import!$C:$D,2,FALSE),Parameters!$C$18:$F$22,Summary!$C$7,FALSE)</f>
        <v xml:space="preserve">0 - Vastaus puuttuu </v>
      </c>
      <c r="P39" s="921" t="str">
        <f>IF(VLOOKUP($C$3&amp;"-"&amp;$D39,Import!$C:$H,3,FALSE)=0,"",VLOOKUP($C$3&amp;"-"&amp;$D39,Import!$C:$H,3,FALSE))</f>
        <v/>
      </c>
      <c r="Q39" s="921" t="str">
        <f>IF(VLOOKUP($C$3&amp;"-"&amp;$D39,Import!$C:$H,4,FALSE)=0,"",VLOOKUP($C$3&amp;"-"&amp;$D39,Import!$C:$H,4,FALSE))</f>
        <v/>
      </c>
      <c r="R39" s="921" t="str">
        <f>IF(VLOOKUP($C$3&amp;"-"&amp;$D39,Import!$C:$H,5,FALSE)=0,"",VLOOKUP($C$3&amp;"-"&amp;$D39,Import!$C:$H,5,FALSE))</f>
        <v/>
      </c>
      <c r="S39" s="922" t="str">
        <f>IF(VLOOKUP($C$3&amp;"-"&amp;$D39,Import!$C:$H,6,FALSE)=0,"",VLOOKUP($C$3&amp;"-"&amp;$D39,Import!$C:$H,6,FALSE))</f>
        <v/>
      </c>
      <c r="T39" s="154"/>
      <c r="U39" s="252"/>
    </row>
    <row r="40" spans="1:21" s="296" customFormat="1" ht="42.6" customHeight="1" x14ac:dyDescent="0.2">
      <c r="A40" s="305"/>
      <c r="B40" s="297"/>
      <c r="C40" s="1210"/>
      <c r="D40" s="294" t="s">
        <v>198</v>
      </c>
      <c r="E40" s="468" t="str">
        <f>IF(VLOOKUP(CONCATENATE($C$3,"-",$D40),Languages!$A:$D,1,TRUE)=CONCATENATE($C$3,"-",$D40),VLOOKUP(CONCATENATE($C$3,"-",$D40),Languages!$A:$D,Summary!$C$7,TRUE),NA())</f>
        <v>Tuotteiden valintakriteereissä on huomioitu asianmukaisesti käyttöiän tai käyttötuen päättymisen ajankohdat.</v>
      </c>
      <c r="F40" s="287">
        <f t="shared" si="1"/>
        <v>0</v>
      </c>
      <c r="G40" s="307" t="s">
        <v>2542</v>
      </c>
      <c r="H40" s="443"/>
      <c r="I40" s="443"/>
      <c r="J40" s="443"/>
      <c r="K40" s="452"/>
      <c r="L40" s="154"/>
      <c r="M40" s="252"/>
      <c r="N40" s="149"/>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54"/>
      <c r="U40" s="252"/>
    </row>
    <row r="41" spans="1:21" s="296" customFormat="1" ht="46.2" customHeight="1" x14ac:dyDescent="0.2">
      <c r="A41" s="305"/>
      <c r="B41" s="297"/>
      <c r="C41" s="1210"/>
      <c r="D41" s="294" t="s">
        <v>200</v>
      </c>
      <c r="E41" s="468" t="str">
        <f>IF(VLOOKUP(CONCATENATE($C$3,"-",$D41),Languages!$A:$D,1,TRUE)=CONCATENATE($C$3,"-",$D41),VLOOKUP(CONCATENATE($C$3,"-",$D41),Languages!$A:$D,Summary!$C$7,TRUE),NA())</f>
        <v>Valintakriteereiden osana on huomioitu asianmukaisesti toimet väärennettyjä tai vaarantuneita ohjelmistoja, laitteita tai palveluita vastaan.</v>
      </c>
      <c r="F41" s="287">
        <f t="shared" si="1"/>
        <v>0</v>
      </c>
      <c r="G41" s="307" t="s">
        <v>2542</v>
      </c>
      <c r="H41" s="443"/>
      <c r="I41" s="443"/>
      <c r="J41" s="443"/>
      <c r="K41" s="452"/>
      <c r="L41" s="154"/>
      <c r="M41" s="252"/>
      <c r="N41" s="149"/>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54"/>
      <c r="U41" s="252"/>
    </row>
    <row r="42" spans="1:21" s="296" customFormat="1" ht="46.2" customHeight="1" x14ac:dyDescent="0.2">
      <c r="A42" s="305"/>
      <c r="B42" s="1013"/>
      <c r="C42" s="1210"/>
      <c r="D42" s="1026" t="s">
        <v>202</v>
      </c>
      <c r="E42" s="474" t="str">
        <f>IF(VLOOKUP(CONCATENATE($C$3,"-",$D42),Languages!$A:$D,1,TRUE)=CONCATENATE($C$3,"-",$D42),VLOOKUP(CONCATENATE($C$3,"-",$D42),Languages!$A:$D,Summary!$C$7,TRUE),NA())</f>
        <v xml:space="preserve">Korkean prioriteetin  omaisuuserien (laitteiden, ohjelmistojen ja tietovarantojen) valintakriteerit sisältävät ns. materiaaliluettelon (bill of materials) ainakin on keskeisten osien, kuten laitteiston ja ohjemlmistojen osalta. </v>
      </c>
      <c r="F42" s="287">
        <f t="shared" si="1"/>
        <v>0</v>
      </c>
      <c r="G42" s="501" t="s">
        <v>2542</v>
      </c>
      <c r="H42" s="493"/>
      <c r="I42" s="493"/>
      <c r="J42" s="493"/>
      <c r="K42" s="494"/>
      <c r="L42" s="154"/>
      <c r="M42" s="252"/>
      <c r="N42" s="149"/>
      <c r="O42" s="892" t="str">
        <f>VLOOKUP(VLOOKUP($C$3&amp;"-"&amp;$D42,Import!$C:$D,2,FALSE),Parameters!$C$18:$F$22,Summary!$C$7,FALSE)</f>
        <v xml:space="preserve">0 - Vastaus puuttuu </v>
      </c>
      <c r="P42" s="916" t="str">
        <f>IF(VLOOKUP($C$3&amp;"-"&amp;$D42,Import!$C:$H,3,FALSE)=0,"",VLOOKUP($C$3&amp;"-"&amp;$D42,Import!$C:$H,3,FALSE))</f>
        <v/>
      </c>
      <c r="Q42" s="916" t="str">
        <f>IF(VLOOKUP($C$3&amp;"-"&amp;$D42,Import!$C:$H,4,FALSE)=0,"",VLOOKUP($C$3&amp;"-"&amp;$D42,Import!$C:$H,4,FALSE))</f>
        <v/>
      </c>
      <c r="R42" s="916" t="str">
        <f>IF(VLOOKUP($C$3&amp;"-"&amp;$D42,Import!$C:$H,5,FALSE)=0,"",VLOOKUP($C$3&amp;"-"&amp;$D42,Import!$C:$H,5,FALSE))</f>
        <v/>
      </c>
      <c r="S42" s="917" t="str">
        <f>IF(VLOOKUP($C$3&amp;"-"&amp;$D42,Import!$C:$H,6,FALSE)=0,"",VLOOKUP($C$3&amp;"-"&amp;$D42,Import!$C:$H,6,FALSE))</f>
        <v/>
      </c>
      <c r="T42" s="154"/>
      <c r="U42" s="252"/>
    </row>
    <row r="43" spans="1:21" s="296" customFormat="1" ht="46.2" customHeight="1" x14ac:dyDescent="0.2">
      <c r="A43" s="305"/>
      <c r="B43" s="1013"/>
      <c r="C43" s="1210"/>
      <c r="D43" s="1026" t="s">
        <v>203</v>
      </c>
      <c r="E43" s="474" t="str">
        <f>IF(VLOOKUP(CONCATENATE($C$3,"-",$D43),Languages!$A:$D,1,TRUE)=CONCATENATE($C$3,"-",$D43),VLOOKUP(CONCATENATE($C$3,"-",$D43),Languages!$A:$D,Summary!$C$7,TRUE),NA())</f>
        <v>Korkean prioriteetin  omaisuuserien (laitteiden, ohjelmistojen ja tietovarantojen) valintakriteereissä on huomioitu kaikki kolmannen osapuolen hosting ympäristöt  ja lähdekoodi</v>
      </c>
      <c r="F43" s="287">
        <f t="shared" si="1"/>
        <v>0</v>
      </c>
      <c r="G43" s="501" t="s">
        <v>2542</v>
      </c>
      <c r="H43" s="493"/>
      <c r="I43" s="493"/>
      <c r="J43" s="493"/>
      <c r="K43" s="494"/>
      <c r="L43" s="154"/>
      <c r="M43" s="252"/>
      <c r="N43" s="149"/>
      <c r="O43" s="892" t="str">
        <f>VLOOKUP(VLOOKUP($C$3&amp;"-"&amp;$D43,Import!$C:$D,2,FALSE),Parameters!$C$18:$F$22,Summary!$C$7,FALSE)</f>
        <v xml:space="preserve">0 - Vastaus puuttuu </v>
      </c>
      <c r="P43" s="916" t="str">
        <f>IF(VLOOKUP($C$3&amp;"-"&amp;$D43,Import!$C:$H,3,FALSE)=0,"",VLOOKUP($C$3&amp;"-"&amp;$D43,Import!$C:$H,3,FALSE))</f>
        <v/>
      </c>
      <c r="Q43" s="916" t="str">
        <f>IF(VLOOKUP($C$3&amp;"-"&amp;$D43,Import!$C:$H,4,FALSE)=0,"",VLOOKUP($C$3&amp;"-"&amp;$D43,Import!$C:$H,4,FALSE))</f>
        <v/>
      </c>
      <c r="R43" s="916" t="str">
        <f>IF(VLOOKUP($C$3&amp;"-"&amp;$D43,Import!$C:$H,5,FALSE)=0,"",VLOOKUP($C$3&amp;"-"&amp;$D43,Import!$C:$H,5,FALSE))</f>
        <v/>
      </c>
      <c r="S43" s="917" t="str">
        <f>IF(VLOOKUP($C$3&amp;"-"&amp;$D43,Import!$C:$H,6,FALSE)=0,"",VLOOKUP($C$3&amp;"-"&amp;$D43,Import!$C:$H,6,FALSE))</f>
        <v/>
      </c>
      <c r="T43" s="154"/>
      <c r="U43" s="252"/>
    </row>
    <row r="44" spans="1:21" s="296" customFormat="1" ht="51" customHeight="1" x14ac:dyDescent="0.2">
      <c r="A44" s="305"/>
      <c r="B44" s="297"/>
      <c r="C44" s="1211"/>
      <c r="D44" s="396" t="s">
        <v>204</v>
      </c>
      <c r="E44" s="474" t="str">
        <f>IF(VLOOKUP(CONCATENATE($C$3,"-",$D44),Languages!$A:$D,1,TRUE)=CONCATENATE($C$3,"-",$D44),VLOOKUP(CONCATENATE($C$3,"-",$D44),Languages!$A:$D,Summary!$C$7,TRUE),NA())</f>
        <v>Hankittavien laitteiden, ohjelmistojen ja tietovarantojen hyväksyntätestaukseen kuuluu kyberturvallisuusvaatimusten testaus.</v>
      </c>
      <c r="F44" s="393">
        <f t="shared" si="1"/>
        <v>0</v>
      </c>
      <c r="G44" s="449" t="s">
        <v>2542</v>
      </c>
      <c r="H44" s="444"/>
      <c r="I44" s="444"/>
      <c r="J44" s="444"/>
      <c r="K44" s="453"/>
      <c r="L44" s="154"/>
      <c r="M44" s="252"/>
      <c r="N44" s="149"/>
      <c r="O44" s="892" t="str">
        <f>VLOOKUP(VLOOKUP($C$3&amp;"-"&amp;$D44,Import!$C:$D,2,FALSE),Parameters!$C$18:$F$22,Summary!$C$7,FALSE)</f>
        <v xml:space="preserve">0 - Vastaus puuttuu </v>
      </c>
      <c r="P44" s="916" t="str">
        <f>IF(VLOOKUP($C$3&amp;"-"&amp;$D44,Import!$C:$H,3,FALSE)=0,"",VLOOKUP($C$3&amp;"-"&amp;$D44,Import!$C:$H,3,FALSE))</f>
        <v/>
      </c>
      <c r="Q44" s="916" t="str">
        <f>IF(VLOOKUP($C$3&amp;"-"&amp;$D44,Import!$C:$H,4,FALSE)=0,"",VLOOKUP($C$3&amp;"-"&amp;$D44,Import!$C:$H,4,FALSE))</f>
        <v/>
      </c>
      <c r="R44" s="916" t="str">
        <f>IF(VLOOKUP($C$3&amp;"-"&amp;$D44,Import!$C:$H,5,FALSE)=0,"",VLOOKUP($C$3&amp;"-"&amp;$D44,Import!$C:$H,5,FALSE))</f>
        <v/>
      </c>
      <c r="S44" s="917" t="str">
        <f>IF(VLOOKUP($C$3&amp;"-"&amp;$D44,Import!$C:$H,6,FALSE)=0,"",VLOOKUP($C$3&amp;"-"&amp;$D44,Import!$C:$H,6,FALSE))</f>
        <v/>
      </c>
      <c r="T44" s="154"/>
      <c r="U44" s="252"/>
    </row>
    <row r="45" spans="1:21" s="177" customFormat="1" ht="30" customHeight="1" x14ac:dyDescent="0.25">
      <c r="A45" s="166"/>
      <c r="B45" s="269"/>
      <c r="C45" s="170">
        <v>3</v>
      </c>
      <c r="D45" s="170" t="str">
        <f>IF(VLOOKUP(CONCATENATE($C$3,"-",C45),Languages!$A:$D,1,TRUE)=CONCATENATE($C$3,"-",C45),VLOOKUP(CONCATENATE($C$3,"-",C45),Languages!$A:$D,Summary!$C$7,TRUE),NA())</f>
        <v>Yleisiä hallintatoimia</v>
      </c>
      <c r="E45" s="170"/>
      <c r="F45" s="292"/>
      <c r="G45" s="907"/>
      <c r="H45" s="929"/>
      <c r="I45" s="929"/>
      <c r="J45" s="929"/>
      <c r="K45" s="929"/>
      <c r="L45" s="154"/>
      <c r="M45" s="252"/>
      <c r="N45" s="149"/>
      <c r="O45" s="292"/>
      <c r="P45" s="293"/>
      <c r="Q45" s="293"/>
      <c r="R45" s="293"/>
      <c r="S45" s="293"/>
      <c r="T45" s="154"/>
      <c r="U45" s="252"/>
    </row>
    <row r="46" spans="1:21" s="285" customFormat="1" ht="19.95" customHeight="1" x14ac:dyDescent="0.2">
      <c r="A46" s="304"/>
      <c r="B46" s="279"/>
      <c r="C46" s="280" t="str">
        <f>IF(VLOOKUP("GEN-LEVEL",Languages!$A:$D,1,TRUE)="GEN-LEVEL",VLOOKUP("GEN-LEVEL",Languages!$A:$D,Summary!$C$7,TRUE),NA())</f>
        <v>Taso</v>
      </c>
      <c r="D46" s="280"/>
      <c r="E46" s="281" t="str">
        <f>IF(VLOOKUP("GEN-PRACTICE",Languages!$A:$D,1,TRUE)="GEN-PRACTICE",VLOOKUP("GEN-PRACTICE",Languages!$A:$D,Summary!$C$7,TRUE),NA())</f>
        <v>Käytäntö</v>
      </c>
      <c r="F46" s="282"/>
      <c r="G46" s="904" t="str">
        <f>IF(VLOOKUP("GEN-ANSWER",Languages!$A:$D,1,TRUE)="GEN-ANSWER",VLOOKUP("GEN-ANSWER",Languages!$A:$D,Summary!$C$7,TRUE),NA())</f>
        <v>Vastaus</v>
      </c>
      <c r="H46" s="905" t="str">
        <f>IF(VLOOKUP("KM112",Languages!$A:$D,1,TRUE)="KM112",VLOOKUP("KM112",Languages!$A:$D,Summary!$C$7,TRUE),NA())</f>
        <v>Kommentit</v>
      </c>
      <c r="I46" s="905" t="str">
        <f>IF(VLOOKUP("KM113",Languages!$A:$D,1,TRUE)="KM113",VLOOKUP("KM113",Languages!$A:$D,Summary!$C$7,TRUE),NA())</f>
        <v>Sisäinen viittaus</v>
      </c>
      <c r="J46" s="905" t="str">
        <f>IF(VLOOKUP("KM114",Languages!$A:$D,1,TRUE)="KM114",VLOOKUP("KM114",Languages!$A:$D,Summary!$C$7,TRUE),NA())</f>
        <v>Ulkoinen viittaus</v>
      </c>
      <c r="K46" s="905" t="str">
        <f>IF(VLOOKUP("KM115",Languages!$A:$D,1,TRUE)="KM115",VLOOKUP("KM115",Languages!$A:$D,Summary!$C$7,TRUE),NA())</f>
        <v>Kehityskohde</v>
      </c>
      <c r="L46" s="283"/>
      <c r="M46" s="284"/>
      <c r="N46" s="279"/>
      <c r="O46" s="463" t="str">
        <f>IF(VLOOKUP("GEN-ANSWER",Languages!$A:$D,1,TRUE)="GEN-ANSWER",VLOOKUP("GEN-ANSWER",Languages!$A:$D,Summary!$C$7,TRUE),NA())</f>
        <v>Vastaus</v>
      </c>
      <c r="P46" s="463" t="str">
        <f>IF(VLOOKUP("KM112",Languages!$A:$D,1,TRUE)="KM112",VLOOKUP("KM112",Languages!$A:$D,Summary!$C$7,TRUE),NA())</f>
        <v>Kommentit</v>
      </c>
      <c r="Q46" s="463" t="str">
        <f>IF(VLOOKUP("KM113",Languages!$A:$D,1,TRUE)="KM113",VLOOKUP("KM113",Languages!$A:$D,Summary!$C$7,TRUE),NA())</f>
        <v>Sisäinen viittaus</v>
      </c>
      <c r="R46" s="463" t="str">
        <f>IF(VLOOKUP("KM114",Languages!$A:$D,1,TRUE)="KM114",VLOOKUP("KM114",Languages!$A:$D,Summary!$C$7,TRUE),NA())</f>
        <v>Ulkoinen viittaus</v>
      </c>
      <c r="S46" s="463" t="str">
        <f>IF(VLOOKUP("KM115",Languages!$A:$D,1,TRUE)="KM115",VLOOKUP("KM115",Languages!$A:$D,Summary!$C$7,TRUE),NA())</f>
        <v>Kehityskohde</v>
      </c>
      <c r="T46" s="283"/>
      <c r="U46" s="284"/>
    </row>
    <row r="47" spans="1:21" s="311" customFormat="1" ht="19.95" customHeight="1" x14ac:dyDescent="0.2">
      <c r="A47" s="284"/>
      <c r="B47" s="279"/>
      <c r="C47" s="457">
        <v>1</v>
      </c>
      <c r="D47" s="401"/>
      <c r="E47" s="402"/>
      <c r="F47" s="404"/>
      <c r="G47" s="908"/>
      <c r="H47" s="909"/>
      <c r="I47" s="909"/>
      <c r="J47" s="909"/>
      <c r="K47" s="910"/>
      <c r="L47" s="154"/>
      <c r="M47" s="252"/>
      <c r="N47" s="149"/>
      <c r="O47" s="517"/>
      <c r="P47" s="403"/>
      <c r="Q47" s="403"/>
      <c r="R47" s="403"/>
      <c r="S47" s="405"/>
      <c r="T47" s="154"/>
      <c r="U47" s="252"/>
    </row>
    <row r="48" spans="1:21" s="296" customFormat="1" ht="34.950000000000003" customHeight="1" x14ac:dyDescent="0.2">
      <c r="A48" s="305"/>
      <c r="B48" s="1199"/>
      <c r="C48" s="1207">
        <v>2</v>
      </c>
      <c r="D48" s="395" t="s">
        <v>22</v>
      </c>
      <c r="E48" s="467" t="str">
        <f>IF(VLOOKUP(CONCATENATE($C$3,"-",$D48),Languages!$A:$D,1,TRUE)=CONCATENATE($C$3,"-",$D48),VLOOKUP(CONCATENATE($C$3,"-",$D48),Languages!$A:$D,Summary!$C$7,TRUE),NA())</f>
        <v>THIRD-PARTIES-osion toimintaa varten on määritetty dokumentoidut toimintatavat, joita noudatetaan ja ylläpidetään säännöllisesti.</v>
      </c>
      <c r="F48" s="386">
        <f t="shared" ref="F48:F53" si="2">IFERROR(INT(LEFT($G48,1)),0)</f>
        <v>0</v>
      </c>
      <c r="G48" s="445" t="s">
        <v>2542</v>
      </c>
      <c r="H48" s="442"/>
      <c r="I48" s="442"/>
      <c r="J48" s="442"/>
      <c r="K48" s="451"/>
      <c r="L48" s="154"/>
      <c r="M48" s="252"/>
      <c r="N48" s="149"/>
      <c r="O48" s="889" t="str">
        <f>VLOOKUP(VLOOKUP($C$3&amp;"-"&amp;$D48,Import!$C:$D,2,FALSE),Parameters!$C$18:$F$22,Summary!$C$7,FALSE)</f>
        <v xml:space="preserve">0 - Vastaus puuttuu </v>
      </c>
      <c r="P48" s="921" t="str">
        <f>IF(VLOOKUP($C$3&amp;"-"&amp;$D48,Import!$C:$H,3,FALSE)=0,"",VLOOKUP($C$3&amp;"-"&amp;$D48,Import!$C:$H,3,FALSE))</f>
        <v/>
      </c>
      <c r="Q48" s="921" t="str">
        <f>IF(VLOOKUP($C$3&amp;"-"&amp;$D48,Import!$C:$H,4,FALSE)=0,"",VLOOKUP($C$3&amp;"-"&amp;$D48,Import!$C:$H,4,FALSE))</f>
        <v/>
      </c>
      <c r="R48" s="921" t="str">
        <f>IF(VLOOKUP($C$3&amp;"-"&amp;$D48,Import!$C:$H,5,FALSE)=0,"",VLOOKUP($C$3&amp;"-"&amp;$D48,Import!$C:$H,5,FALSE))</f>
        <v/>
      </c>
      <c r="S48" s="922" t="str">
        <f>IF(VLOOKUP($C$3&amp;"-"&amp;$D48,Import!$C:$H,6,FALSE)=0,"",VLOOKUP($C$3&amp;"-"&amp;$D48,Import!$C:$H,6,FALSE))</f>
        <v/>
      </c>
      <c r="T48" s="154"/>
      <c r="U48" s="252"/>
    </row>
    <row r="49" spans="1:21" s="296" customFormat="1" ht="34.950000000000003" customHeight="1" x14ac:dyDescent="0.2">
      <c r="A49" s="305"/>
      <c r="B49" s="1199"/>
      <c r="C49" s="1208"/>
      <c r="D49" s="396" t="s">
        <v>23</v>
      </c>
      <c r="E49" s="474" t="str">
        <f>IF(VLOOKUP(CONCATENATE($C$3,"-",$D49),Languages!$A:$D,1,TRUE)=CONCATENATE($C$3,"-",$D49),VLOOKUP(CONCATENATE($C$3,"-",$D49),Languages!$A:$D,Summary!$C$7,TRUE),NA())</f>
        <v>THIRD-PARTIES-osion toimintaa varten on tarjolla riittävät resurssit (henkilöstö, rahoitus ja työkalut).</v>
      </c>
      <c r="F49" s="393">
        <f t="shared" si="2"/>
        <v>0</v>
      </c>
      <c r="G49" s="449" t="s">
        <v>2542</v>
      </c>
      <c r="H49" s="444"/>
      <c r="I49" s="444"/>
      <c r="J49" s="444"/>
      <c r="K49" s="453"/>
      <c r="L49" s="154"/>
      <c r="M49" s="252"/>
      <c r="N49" s="149"/>
      <c r="O49" s="897" t="str">
        <f>VLOOKUP(VLOOKUP($C$3&amp;"-"&amp;$D49,Import!$C:$D,2,FALSE),Parameters!$C$18:$F$22,Summary!$C$7,FALSE)</f>
        <v xml:space="preserve">0 - Vastaus puuttuu </v>
      </c>
      <c r="P49" s="923" t="str">
        <f>IF(VLOOKUP($C$3&amp;"-"&amp;$D49,Import!$C:$H,3,FALSE)=0,"",VLOOKUP($C$3&amp;"-"&amp;$D49,Import!$C:$H,3,FALSE))</f>
        <v/>
      </c>
      <c r="Q49" s="923" t="str">
        <f>IF(VLOOKUP($C$3&amp;"-"&amp;$D49,Import!$C:$H,4,FALSE)=0,"",VLOOKUP($C$3&amp;"-"&amp;$D49,Import!$C:$H,4,FALSE))</f>
        <v/>
      </c>
      <c r="R49" s="923" t="str">
        <f>IF(VLOOKUP($C$3&amp;"-"&amp;$D49,Import!$C:$H,5,FALSE)=0,"",VLOOKUP($C$3&amp;"-"&amp;$D49,Import!$C:$H,5,FALSE))</f>
        <v/>
      </c>
      <c r="S49" s="924" t="str">
        <f>IF(VLOOKUP($C$3&amp;"-"&amp;$D49,Import!$C:$H,6,FALSE)=0,"",VLOOKUP($C$3&amp;"-"&amp;$D49,Import!$C:$H,6,FALSE))</f>
        <v/>
      </c>
      <c r="T49" s="154"/>
      <c r="U49" s="252"/>
    </row>
    <row r="50" spans="1:21" s="296" customFormat="1" ht="47.4" customHeight="1" x14ac:dyDescent="0.2">
      <c r="A50" s="305"/>
      <c r="B50" s="1199"/>
      <c r="C50" s="1209">
        <v>3</v>
      </c>
      <c r="D50" s="395" t="s">
        <v>24</v>
      </c>
      <c r="E50" s="467" t="str">
        <f>IF(VLOOKUP(CONCATENATE($C$3,"-",$D50),Languages!$A:$D,1,TRUE)=CONCATENATE($C$3,"-",$D50),VLOOKUP(CONCATENATE($C$3,"-",$D50),Languages!$A:$D,Summary!$C$7,TRUE),NA())</f>
        <v>THIRD-PARTIES-osion toimintaa ohjataan vaatimuksilla, jotka on asetettu organisaation johtotason politiikassa (tai vastaavassa ohjeistuksessa).</v>
      </c>
      <c r="F50" s="386">
        <f t="shared" si="2"/>
        <v>0</v>
      </c>
      <c r="G50" s="445" t="s">
        <v>2542</v>
      </c>
      <c r="H50" s="442"/>
      <c r="I50" s="442"/>
      <c r="J50" s="442"/>
      <c r="K50" s="451"/>
      <c r="L50" s="154"/>
      <c r="M50" s="252"/>
      <c r="N50" s="149"/>
      <c r="O50" s="889" t="str">
        <f>VLOOKUP(VLOOKUP($C$3&amp;"-"&amp;$D50,Import!$C:$D,2,FALSE),Parameters!$C$18:$F$22,Summary!$C$7,FALSE)</f>
        <v xml:space="preserve">0 - Vastaus puuttuu </v>
      </c>
      <c r="P50" s="921" t="str">
        <f>IF(VLOOKUP($C$3&amp;"-"&amp;$D50,Import!$C:$H,3,FALSE)=0,"",VLOOKUP($C$3&amp;"-"&amp;$D50,Import!$C:$H,3,FALSE))</f>
        <v/>
      </c>
      <c r="Q50" s="921" t="str">
        <f>IF(VLOOKUP($C$3&amp;"-"&amp;$D50,Import!$C:$H,4,FALSE)=0,"",VLOOKUP($C$3&amp;"-"&amp;$D50,Import!$C:$H,4,FALSE))</f>
        <v/>
      </c>
      <c r="R50" s="921" t="str">
        <f>IF(VLOOKUP($C$3&amp;"-"&amp;$D50,Import!$C:$H,5,FALSE)=0,"",VLOOKUP($C$3&amp;"-"&amp;$D50,Import!$C:$H,5,FALSE))</f>
        <v/>
      </c>
      <c r="S50" s="922" t="str">
        <f>IF(VLOOKUP($C$3&amp;"-"&amp;$D50,Import!$C:$H,6,FALSE)=0,"",VLOOKUP($C$3&amp;"-"&amp;$D50,Import!$C:$H,6,FALSE))</f>
        <v/>
      </c>
      <c r="T50" s="154"/>
      <c r="U50" s="252"/>
    </row>
    <row r="51" spans="1:21" s="296" customFormat="1" ht="34.950000000000003" customHeight="1" x14ac:dyDescent="0.2">
      <c r="A51" s="305"/>
      <c r="B51" s="1199"/>
      <c r="C51" s="1210"/>
      <c r="D51" s="294" t="s">
        <v>25</v>
      </c>
      <c r="E51" s="468" t="str">
        <f>IF(VLOOKUP(CONCATENATE($C$3,"-",$D51),Languages!$A:$D,1,TRUE)=CONCATENATE($C$3,"-",$D51),VLOOKUP(CONCATENATE($C$3,"-",$D51),Languages!$A:$D,Summary!$C$7,TRUE),NA())</f>
        <v xml:space="preserve">THIRD-PARTIES-osion toiminnan suorittamiseen tarvittavat vastuut, tilivelvollisuudet ja valtuutukset on jalkautettu soveltuville työntekijöille. </v>
      </c>
      <c r="F51" s="287">
        <f t="shared" si="2"/>
        <v>0</v>
      </c>
      <c r="G51" s="307" t="s">
        <v>2542</v>
      </c>
      <c r="H51" s="443"/>
      <c r="I51" s="443"/>
      <c r="J51" s="443"/>
      <c r="K51" s="452"/>
      <c r="L51" s="154"/>
      <c r="M51" s="252"/>
      <c r="N51" s="149"/>
      <c r="O51" s="892" t="str">
        <f>VLOOKUP(VLOOKUP($C$3&amp;"-"&amp;$D51,Import!$C:$D,2,FALSE),Parameters!$C$18:$F$22,Summary!$C$7,FALSE)</f>
        <v xml:space="preserve">0 - Vastaus puuttuu </v>
      </c>
      <c r="P51" s="916" t="str">
        <f>IF(VLOOKUP($C$3&amp;"-"&amp;$D51,Import!$C:$H,3,FALSE)=0,"",VLOOKUP($C$3&amp;"-"&amp;$D51,Import!$C:$H,3,FALSE))</f>
        <v/>
      </c>
      <c r="Q51" s="916" t="str">
        <f>IF(VLOOKUP($C$3&amp;"-"&amp;$D51,Import!$C:$H,4,FALSE)=0,"",VLOOKUP($C$3&amp;"-"&amp;$D51,Import!$C:$H,4,FALSE))</f>
        <v/>
      </c>
      <c r="R51" s="916" t="str">
        <f>IF(VLOOKUP($C$3&amp;"-"&amp;$D51,Import!$C:$H,5,FALSE)=0,"",VLOOKUP($C$3&amp;"-"&amp;$D51,Import!$C:$H,5,FALSE))</f>
        <v/>
      </c>
      <c r="S51" s="917" t="str">
        <f>IF(VLOOKUP($C$3&amp;"-"&amp;$D51,Import!$C:$H,6,FALSE)=0,"",VLOOKUP($C$3&amp;"-"&amp;$D51,Import!$C:$H,6,FALSE))</f>
        <v/>
      </c>
      <c r="T51" s="154"/>
      <c r="U51" s="252"/>
    </row>
    <row r="52" spans="1:21" s="296" customFormat="1" ht="47.4" customHeight="1" x14ac:dyDescent="0.2">
      <c r="A52" s="305"/>
      <c r="B52" s="1199"/>
      <c r="C52" s="1210"/>
      <c r="D52" s="294" t="s">
        <v>26</v>
      </c>
      <c r="E52" s="468" t="str">
        <f>IF(VLOOKUP(CONCATENATE($C$3,"-",$D52),Languages!$A:$D,1,TRUE)=CONCATENATE($C$3,"-",$D52),VLOOKUP(CONCATENATE($C$3,"-",$D52),Languages!$A:$D,Summary!$C$7,TRUE),NA())</f>
        <v>THIRD-PARTIES-osion toimintaa suorittavilla työntekijöillä on riittävät tiedot ja taidot tehtäviensä suorittamiseen.</v>
      </c>
      <c r="F52" s="287">
        <f t="shared" si="2"/>
        <v>0</v>
      </c>
      <c r="G52" s="307" t="s">
        <v>2542</v>
      </c>
      <c r="H52" s="443"/>
      <c r="I52" s="443"/>
      <c r="J52" s="443"/>
      <c r="K52" s="452"/>
      <c r="L52" s="154"/>
      <c r="M52" s="252"/>
      <c r="N52" s="149"/>
      <c r="O52" s="892" t="str">
        <f>VLOOKUP(VLOOKUP($C$3&amp;"-"&amp;$D52,Import!$C:$D,2,FALSE),Parameters!$C$18:$F$22,Summary!$C$7,FALSE)</f>
        <v xml:space="preserve">0 - Vastaus puuttuu </v>
      </c>
      <c r="P52" s="916" t="str">
        <f>IF(VLOOKUP($C$3&amp;"-"&amp;$D52,Import!$C:$H,3,FALSE)=0,"",VLOOKUP($C$3&amp;"-"&amp;$D52,Import!$C:$H,3,FALSE))</f>
        <v/>
      </c>
      <c r="Q52" s="916" t="str">
        <f>IF(VLOOKUP($C$3&amp;"-"&amp;$D52,Import!$C:$H,4,FALSE)=0,"",VLOOKUP($C$3&amp;"-"&amp;$D52,Import!$C:$H,4,FALSE))</f>
        <v/>
      </c>
      <c r="R52" s="916" t="str">
        <f>IF(VLOOKUP($C$3&amp;"-"&amp;$D52,Import!$C:$H,5,FALSE)=0,"",VLOOKUP($C$3&amp;"-"&amp;$D52,Import!$C:$H,5,FALSE))</f>
        <v/>
      </c>
      <c r="S52" s="917" t="str">
        <f>IF(VLOOKUP($C$3&amp;"-"&amp;$D52,Import!$C:$H,6,FALSE)=0,"",VLOOKUP($C$3&amp;"-"&amp;$D52,Import!$C:$H,6,FALSE))</f>
        <v/>
      </c>
      <c r="T52" s="154"/>
      <c r="U52" s="252"/>
    </row>
    <row r="53" spans="1:21" s="296" customFormat="1" ht="34.950000000000003" customHeight="1" x14ac:dyDescent="0.2">
      <c r="A53" s="305"/>
      <c r="B53" s="1199"/>
      <c r="C53" s="1211"/>
      <c r="D53" s="396" t="s">
        <v>27</v>
      </c>
      <c r="E53" s="474" t="str">
        <f>IF(VLOOKUP(CONCATENATE($C$3,"-",$D53),Languages!$A:$D,1,TRUE)=CONCATENATE($C$3,"-",$D53),VLOOKUP(CONCATENATE($C$3,"-",$D53),Languages!$A:$D,Summary!$C$7,TRUE),NA())</f>
        <v>THIRD-PARTIES-osion toiminnan vaikuttavuutta arvioidaan ja seurataan.</v>
      </c>
      <c r="F53" s="393">
        <f t="shared" si="2"/>
        <v>0</v>
      </c>
      <c r="G53" s="449" t="s">
        <v>2542</v>
      </c>
      <c r="H53" s="444"/>
      <c r="I53" s="444"/>
      <c r="J53" s="444"/>
      <c r="K53" s="453"/>
      <c r="L53" s="154"/>
      <c r="M53" s="252"/>
      <c r="N53" s="149"/>
      <c r="O53" s="897" t="str">
        <f>VLOOKUP(VLOOKUP($C$3&amp;"-"&amp;$D53,Import!$C:$D,2,FALSE),Parameters!$C$18:$F$22,Summary!$C$7,FALSE)</f>
        <v xml:space="preserve">0 - Vastaus puuttuu </v>
      </c>
      <c r="P53" s="923" t="str">
        <f>IF(VLOOKUP($C$3&amp;"-"&amp;$D53,Import!$C:$H,3,FALSE)=0,"",VLOOKUP($C$3&amp;"-"&amp;$D53,Import!$C:$H,3,FALSE))</f>
        <v/>
      </c>
      <c r="Q53" s="923" t="str">
        <f>IF(VLOOKUP($C$3&amp;"-"&amp;$D53,Import!$C:$H,4,FALSE)=0,"",VLOOKUP($C$3&amp;"-"&amp;$D53,Import!$C:$H,4,FALSE))</f>
        <v/>
      </c>
      <c r="R53" s="923" t="str">
        <f>IF(VLOOKUP($C$3&amp;"-"&amp;$D53,Import!$C:$H,5,FALSE)=0,"",VLOOKUP($C$3&amp;"-"&amp;$D53,Import!$C:$H,5,FALSE))</f>
        <v/>
      </c>
      <c r="S53" s="924" t="str">
        <f>IF(VLOOKUP($C$3&amp;"-"&amp;$D53,Import!$C:$H,6,FALSE)=0,"",VLOOKUP($C$3&amp;"-"&amp;$D53,Import!$C:$H,6,FALSE))</f>
        <v/>
      </c>
      <c r="T53" s="154"/>
      <c r="U53" s="252"/>
    </row>
    <row r="54" spans="1:21" x14ac:dyDescent="0.2">
      <c r="A54" s="181"/>
      <c r="B54" s="329"/>
      <c r="C54" s="330"/>
      <c r="D54" s="331"/>
      <c r="E54" s="332"/>
      <c r="F54" s="333"/>
      <c r="G54" s="334"/>
      <c r="H54" s="335"/>
      <c r="I54" s="335"/>
      <c r="J54" s="335"/>
      <c r="K54" s="335"/>
      <c r="L54" s="154"/>
      <c r="M54" s="252"/>
      <c r="N54" s="149"/>
      <c r="O54" s="334"/>
      <c r="P54" s="335"/>
      <c r="Q54" s="335"/>
      <c r="R54" s="335"/>
      <c r="S54" s="335"/>
      <c r="T54" s="154"/>
      <c r="U54" s="252"/>
    </row>
    <row r="55" spans="1:21" x14ac:dyDescent="0.25">
      <c r="A55" s="181"/>
      <c r="B55" s="181"/>
      <c r="C55" s="181"/>
      <c r="D55" s="181"/>
      <c r="E55" s="181"/>
      <c r="F55" s="336"/>
      <c r="G55" s="181"/>
      <c r="H55" s="181"/>
      <c r="I55" s="181"/>
      <c r="J55" s="181"/>
      <c r="K55" s="181"/>
      <c r="L55" s="476"/>
      <c r="M55" s="309"/>
      <c r="N55" s="476"/>
      <c r="O55" s="181"/>
      <c r="P55" s="181"/>
      <c r="Q55" s="181"/>
      <c r="R55" s="181"/>
      <c r="S55" s="181"/>
      <c r="T55" s="476"/>
      <c r="U55" s="309"/>
    </row>
    <row r="56" spans="1:21" x14ac:dyDescent="0.25">
      <c r="M56" s="339"/>
      <c r="U56" s="339"/>
    </row>
    <row r="57" spans="1:21" x14ac:dyDescent="0.25">
      <c r="M57" s="339"/>
      <c r="U57" s="339"/>
    </row>
    <row r="58" spans="1:21" x14ac:dyDescent="0.25">
      <c r="M58" s="339"/>
      <c r="U58" s="339"/>
    </row>
    <row r="59" spans="1:21" x14ac:dyDescent="0.25">
      <c r="M59" s="339"/>
      <c r="U59" s="339"/>
    </row>
    <row r="60" spans="1:21" x14ac:dyDescent="0.25">
      <c r="M60" s="339"/>
      <c r="U60" s="339"/>
    </row>
    <row r="61" spans="1:21" x14ac:dyDescent="0.25">
      <c r="M61" s="339"/>
      <c r="U61" s="339"/>
    </row>
  </sheetData>
  <sheetProtection sheet="1" formatCells="0" formatColumns="0" formatRows="0"/>
  <mergeCells count="34">
    <mergeCell ref="C6:K6"/>
    <mergeCell ref="C13:K13"/>
    <mergeCell ref="Q17:Q18"/>
    <mergeCell ref="R17:R18"/>
    <mergeCell ref="S17:S18"/>
    <mergeCell ref="O17:O18"/>
    <mergeCell ref="P17:P18"/>
    <mergeCell ref="C17:K17"/>
    <mergeCell ref="O15:O16"/>
    <mergeCell ref="P15:P16"/>
    <mergeCell ref="Q15:Q16"/>
    <mergeCell ref="R15:R16"/>
    <mergeCell ref="S15:S16"/>
    <mergeCell ref="O3:S11"/>
    <mergeCell ref="O13:O14"/>
    <mergeCell ref="P13:P14"/>
    <mergeCell ref="Q13:Q14"/>
    <mergeCell ref="R13:R14"/>
    <mergeCell ref="S13:S14"/>
    <mergeCell ref="B52:B53"/>
    <mergeCell ref="B48:B51"/>
    <mergeCell ref="C48:C49"/>
    <mergeCell ref="C50:C53"/>
    <mergeCell ref="C39:C44"/>
    <mergeCell ref="C34:C38"/>
    <mergeCell ref="B24:B25"/>
    <mergeCell ref="B26:B29"/>
    <mergeCell ref="B32:B33"/>
    <mergeCell ref="I8:J8"/>
    <mergeCell ref="I10:J11"/>
    <mergeCell ref="C32:C33"/>
    <mergeCell ref="C15:K15"/>
    <mergeCell ref="C24:C25"/>
    <mergeCell ref="C26:C27"/>
  </mergeCells>
  <conditionalFormatting sqref="F4:F5 F7:F12 F47:F1048576 F32:F45 F24:F30">
    <cfRule type="containsText" dxfId="150" priority="21" operator="containsText" text="0">
      <formula>NOT(ISERROR(SEARCH("0",F4)))</formula>
    </cfRule>
  </conditionalFormatting>
  <conditionalFormatting sqref="F1 F3">
    <cfRule type="containsText" dxfId="149" priority="14" operator="containsText" text="0">
      <formula>NOT(ISERROR(SEARCH("0",F1)))</formula>
    </cfRule>
  </conditionalFormatting>
  <conditionalFormatting sqref="F2">
    <cfRule type="containsText" dxfId="148" priority="13" operator="containsText" text="0">
      <formula>NOT(ISERROR(SEARCH("0",F2)))</formula>
    </cfRule>
  </conditionalFormatting>
  <conditionalFormatting sqref="F46">
    <cfRule type="containsText" dxfId="147" priority="11" operator="containsText" text="0">
      <formula>NOT(ISERROR(SEARCH("0",F46)))</formula>
    </cfRule>
  </conditionalFormatting>
  <conditionalFormatting sqref="F31">
    <cfRule type="containsText" dxfId="146" priority="9" operator="containsText" text="0">
      <formula>NOT(ISERROR(SEARCH("0",F31)))</formula>
    </cfRule>
  </conditionalFormatting>
  <conditionalFormatting sqref="F23">
    <cfRule type="containsText" dxfId="145" priority="7" operator="containsText" text="0">
      <formula>NOT(ISERROR(SEARCH("0",F23)))</formula>
    </cfRule>
  </conditionalFormatting>
  <conditionalFormatting sqref="F14">
    <cfRule type="containsText" dxfId="144" priority="5" operator="containsText" text="0">
      <formula>NOT(ISERROR(SEARCH("0",F14)))</formula>
    </cfRule>
  </conditionalFormatting>
  <conditionalFormatting sqref="F16">
    <cfRule type="containsText" dxfId="143" priority="3" operator="containsText" text="0">
      <formula>NOT(ISERROR(SEARCH("0",F16)))</formula>
    </cfRule>
  </conditionalFormatting>
  <conditionalFormatting sqref="F22">
    <cfRule type="containsText" dxfId="142" priority="1" operator="containsText" text="0">
      <formula>NOT(ISERROR(SEARCH("0",F22)))</formula>
    </cfRule>
  </conditionalFormatting>
  <pageMargins left="0.7" right="0.7" top="0.75" bottom="0.75" header="0.3" footer="0.3"/>
  <pageSetup paperSize="9" scale="42" orientation="portrait" r:id="rId1"/>
  <rowBreaks count="1" manualBreakCount="1">
    <brk id="44" max="16383" man="1"/>
  </rowBreaks>
  <colBreaks count="1" manualBreakCount="1">
    <brk id="13" max="1048575" man="1"/>
  </colBreaks>
  <ignoredErrors>
    <ignoredError sqref="O24:S27 O48:S53 O29:S29 O32:S41"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3085B42A-23B5-4DDA-80A7-EFE3C26BDEF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F47:F1048576 F4:F5 F7:F12 F32:F45 F24:F30</xm:sqref>
        </x14:conditionalFormatting>
        <x14:conditionalFormatting xmlns:xm="http://schemas.microsoft.com/office/excel/2006/main">
          <x14:cfRule type="iconSet" priority="15" id="{005529F5-4889-4CCB-9DF4-DA9E252167A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58F93D1B-D2BC-4861-9F10-8C1E8653411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DD1CEF44-B8BA-4570-A527-EDA5C17288D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xm:sqref>
        </x14:conditionalFormatting>
        <x14:conditionalFormatting xmlns:xm="http://schemas.microsoft.com/office/excel/2006/main">
          <x14:cfRule type="iconSet" priority="10" id="{62FAE90F-EBE5-4F91-86AF-A976AEBD9EB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F31</xm:sqref>
        </x14:conditionalFormatting>
        <x14:conditionalFormatting xmlns:xm="http://schemas.microsoft.com/office/excel/2006/main">
          <x14:cfRule type="iconSet" priority="8" id="{BB24EED3-B83C-4109-80EE-132FF676663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6" id="{6AF32D53-ABC0-481E-BE16-681023B77A5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4" id="{7E9C61F3-45ED-4BBA-9FBE-757736918E8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2" id="{5665F9CA-876F-45E3-B3EB-80864C9FA6D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Parameters!$B$18:$B$22</xm:f>
          </x14:formula1>
          <xm:sqref>G24:G29 G32:G44 G48:G53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2" tint="0.79998168889431442"/>
  </sheetPr>
  <dimension ref="A1:U71"/>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464"/>
      <c r="O2" s="806"/>
      <c r="P2" s="806"/>
      <c r="Q2" s="806"/>
      <c r="R2" s="806"/>
      <c r="S2" s="806"/>
      <c r="T2" s="807"/>
      <c r="U2" s="252"/>
    </row>
    <row r="3" spans="1:21" s="257" customFormat="1" ht="25.05" customHeight="1" x14ac:dyDescent="0.25">
      <c r="A3" s="252"/>
      <c r="B3" s="149"/>
      <c r="C3" s="150" t="s">
        <v>74</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8"/>
      <c r="O3" s="1243" t="str">
        <f>VLOOKUP($C$3,Infoimport!$B$4:$C$14,2,FALSE)</f>
        <v xml:space="preserve">WORKFORCE, tiedot Infoimport-välilehdeltä
</v>
      </c>
      <c r="P3" s="1243"/>
      <c r="Q3" s="1243"/>
      <c r="R3" s="1243"/>
      <c r="S3" s="1243"/>
      <c r="T3" s="809"/>
      <c r="U3" s="252"/>
    </row>
    <row r="4" spans="1:21" s="318" customFormat="1" ht="25.05" customHeight="1" x14ac:dyDescent="0.3">
      <c r="A4" s="316"/>
      <c r="B4" s="317"/>
      <c r="C4" s="155" t="str">
        <f>IF(VLOOKUP($C$3,Languages!$A:$D,1,TRUE)=$C$3,VLOOKUP($C$3,Languages!$A:$D,Summary!$C$7,TRUE),NA())</f>
        <v>Henkilöstön johtaminen ja kehittäminen (WORKFORCE)</v>
      </c>
      <c r="D4" s="258"/>
      <c r="E4" s="259"/>
      <c r="F4" s="320"/>
      <c r="G4" s="319"/>
      <c r="H4" s="261" t="str">
        <f ca="1">VLOOKUP(VLOOKUP(CONCATENATE($C$3),Data!$K:$O,5,FALSE),Parameters!$C$7:$F$10,Summary!$C$7,FALSE)</f>
        <v>Kypsyystaso 0</v>
      </c>
      <c r="I4" s="697"/>
      <c r="J4" s="262"/>
      <c r="K4" s="148"/>
      <c r="L4" s="154"/>
      <c r="M4" s="252"/>
      <c r="N4" s="808"/>
      <c r="O4" s="1243"/>
      <c r="P4" s="1243"/>
      <c r="Q4" s="1243"/>
      <c r="R4" s="1243"/>
      <c r="S4" s="1243"/>
      <c r="T4" s="809"/>
      <c r="U4" s="252"/>
    </row>
    <row r="5" spans="1:21" ht="10.050000000000001" customHeight="1" x14ac:dyDescent="0.25">
      <c r="A5" s="178"/>
      <c r="B5" s="308"/>
      <c r="C5" s="321"/>
      <c r="D5" s="322"/>
      <c r="E5" s="322"/>
      <c r="F5" s="261"/>
      <c r="G5" s="261"/>
      <c r="H5" s="797"/>
      <c r="I5" s="262"/>
      <c r="J5" s="262"/>
      <c r="K5" s="148"/>
      <c r="L5" s="154"/>
      <c r="M5" s="252"/>
      <c r="N5" s="808"/>
      <c r="O5" s="1243"/>
      <c r="P5" s="1243"/>
      <c r="Q5" s="1243"/>
      <c r="R5" s="1243"/>
      <c r="S5" s="1243"/>
      <c r="T5" s="809"/>
      <c r="U5" s="252"/>
    </row>
    <row r="6" spans="1:21" ht="94.95" customHeight="1" x14ac:dyDescent="0.2">
      <c r="A6" s="178"/>
      <c r="B6" s="308"/>
      <c r="C6" s="1204" t="str">
        <f>IF(VLOOKUP(CONCATENATE(C3,"-0"),Languages!$A:$D,1,TRUE)=CONCATENATE(C3,"-0"),VLOOKUP(CONCATENATE(C3,"-0"),Languages!$A:$D,Summary!$C$7,TRUE),NA())</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D6" s="1204"/>
      <c r="E6" s="1204"/>
      <c r="F6" s="1204"/>
      <c r="G6" s="1204"/>
      <c r="H6" s="1204"/>
      <c r="I6" s="1204"/>
      <c r="J6" s="1204"/>
      <c r="K6" s="1204"/>
      <c r="L6" s="154"/>
      <c r="M6" s="252"/>
      <c r="N6" s="808"/>
      <c r="O6" s="1243"/>
      <c r="P6" s="1243"/>
      <c r="Q6" s="1243"/>
      <c r="R6" s="1243"/>
      <c r="S6" s="1243"/>
      <c r="T6" s="809"/>
      <c r="U6" s="252"/>
    </row>
    <row r="7" spans="1:21" ht="14.4" customHeight="1" x14ac:dyDescent="0.2">
      <c r="A7" s="178"/>
      <c r="B7" s="308"/>
      <c r="C7" s="264">
        <v>1</v>
      </c>
      <c r="D7" s="265" t="s">
        <v>1</v>
      </c>
      <c r="E7" s="266" t="str">
        <f>IF(VLOOKUP(CONCATENATE($C$3,"-",C7),Languages!$A:$D,1,TRUE)=CONCATENATE($C$3,"-",C7),VLOOKUP(CONCATENATE($C$3,"-",C7),Languages!$A:$D,Summary!$C$7,TRUE),NA())</f>
        <v>Kyberturvallisuuden vastuiden jakaminen</v>
      </c>
      <c r="H7" s="267" t="str">
        <f ca="1">VLOOKUP(VLOOKUP(CONCATENATE($C$3,"-",$C7),Data!$K:$O,5,FALSE),Parameters!$C$7:$F$10,Summary!$C$7,FALSE)</f>
        <v>Kypsyystaso 0</v>
      </c>
      <c r="I7" s="465" t="str">
        <f>IF(VLOOKUP("KM110",Languages!$A:$D,1,TRUE)="KM110",VLOOKUP("KM110",Languages!$A:$D,Summary!$C$7,TRUE),NA())</f>
        <v>Päivämäärä</v>
      </c>
      <c r="J7" s="439"/>
      <c r="K7" s="148"/>
      <c r="L7" s="154"/>
      <c r="M7" s="252"/>
      <c r="N7" s="808"/>
      <c r="O7" s="1243"/>
      <c r="P7" s="1243"/>
      <c r="Q7" s="1243"/>
      <c r="R7" s="1243"/>
      <c r="S7" s="1243"/>
      <c r="T7" s="809"/>
      <c r="U7" s="252"/>
    </row>
    <row r="8" spans="1:21" ht="14.4" customHeight="1" x14ac:dyDescent="0.25">
      <c r="A8" s="178"/>
      <c r="B8" s="308"/>
      <c r="C8" s="264">
        <v>2</v>
      </c>
      <c r="D8" s="265" t="s">
        <v>1</v>
      </c>
      <c r="E8" s="266" t="str">
        <f>IF(VLOOKUP(CONCATENATE($C$3,"-",C8),Languages!$A:$D,1,TRUE)=CONCATENATE($C$3,"-",C8),VLOOKUP(CONCATENATE($C$3,"-",C8),Languages!$A:$D,Summary!$C$7,TRUE),NA())</f>
        <v>Kyberturvallisuuteen keskittyvän henkilöstön kehittäminen</v>
      </c>
      <c r="F8" s="324"/>
      <c r="H8" s="267" t="str">
        <f ca="1">VLOOKUP(VLOOKUP(CONCATENATE($C$3,"-",$C8),Data!$K:$O,5,FALSE),Parameters!$C$7:$F$10,Summary!$C$7,FALSE)</f>
        <v>Kypsyystaso 0</v>
      </c>
      <c r="I8" s="1213"/>
      <c r="J8" s="1206"/>
      <c r="K8" s="148"/>
      <c r="L8" s="154"/>
      <c r="M8" s="252"/>
      <c r="N8" s="808"/>
      <c r="O8" s="1243"/>
      <c r="P8" s="1243"/>
      <c r="Q8" s="1243"/>
      <c r="R8" s="1243"/>
      <c r="S8" s="1243"/>
      <c r="T8" s="809"/>
      <c r="U8" s="252"/>
    </row>
    <row r="9" spans="1:21" ht="14.4" customHeight="1" x14ac:dyDescent="0.2">
      <c r="A9" s="178"/>
      <c r="B9" s="308"/>
      <c r="C9" s="264">
        <v>3</v>
      </c>
      <c r="D9" s="265" t="s">
        <v>1</v>
      </c>
      <c r="E9" s="266" t="str">
        <f>IF(VLOOKUP(CONCATENATE($C$3,"-",C9),Languages!$A:$D,1,TRUE)=CONCATENATE($C$3,"-",C9),VLOOKUP(CONCATENATE($C$3,"-",C9),Languages!$A:$D,Summary!$C$7,TRUE),NA())</f>
        <v>Henkilöstöhallinnon prosessit</v>
      </c>
      <c r="F9" s="325"/>
      <c r="H9" s="267" t="str">
        <f ca="1">VLOOKUP(VLOOKUP(CONCATENATE($C$3,"-",$C9),Data!$K:$O,5,FALSE),Parameters!$C$7:$F$10,Summary!$C$7,FALSE)</f>
        <v>Kypsyystaso 0</v>
      </c>
      <c r="I9" s="465" t="str">
        <f>IF(VLOOKUP("KM111",Languages!$A:$D,1,TRUE)="KM111",VLOOKUP("KM111",Languages!$A:$D,Summary!$C$7,TRUE),NA())</f>
        <v>Osallistujat</v>
      </c>
      <c r="J9" s="439"/>
      <c r="K9" s="148"/>
      <c r="L9" s="154"/>
      <c r="M9" s="252"/>
      <c r="N9" s="808"/>
      <c r="O9" s="1243"/>
      <c r="P9" s="1243"/>
      <c r="Q9" s="1243"/>
      <c r="R9" s="1243"/>
      <c r="S9" s="1243"/>
      <c r="T9" s="809"/>
      <c r="U9" s="252"/>
    </row>
    <row r="10" spans="1:21" ht="14.4" customHeight="1" x14ac:dyDescent="0.2">
      <c r="A10" s="178"/>
      <c r="B10" s="308"/>
      <c r="C10" s="264">
        <v>4</v>
      </c>
      <c r="D10" s="265" t="s">
        <v>1</v>
      </c>
      <c r="E10" s="266" t="str">
        <f>IF(VLOOKUP(CONCATENATE($C$3,"-",C10),Languages!$A:$D,1,TRUE)=CONCATENATE($C$3,"-",C10),VLOOKUP(CONCATENATE($C$3,"-",C10),Languages!$A:$D,Summary!$C$7,TRUE),NA())</f>
        <v>Koulutus ja kybertietoisuuden lisääminen</v>
      </c>
      <c r="F10" s="1118"/>
      <c r="H10" s="267" t="str">
        <f ca="1">VLOOKUP(VLOOKUP(CONCATENATE($C$3,"-",$C10),Data!$K:$O,5,FALSE),Parameters!$C$7:$F$10,Summary!$C$7,FALSE)</f>
        <v>Kypsyystaso 0</v>
      </c>
      <c r="I10" s="1194"/>
      <c r="J10" s="1195"/>
      <c r="K10" s="148"/>
      <c r="L10" s="154"/>
      <c r="M10" s="252"/>
      <c r="N10" s="808"/>
      <c r="O10" s="1243"/>
      <c r="P10" s="1243"/>
      <c r="Q10" s="1243"/>
      <c r="R10" s="1243"/>
      <c r="S10" s="1243"/>
      <c r="T10" s="809"/>
      <c r="U10" s="252"/>
    </row>
    <row r="11" spans="1:21" ht="14.4" customHeight="1" x14ac:dyDescent="0.2">
      <c r="A11" s="178"/>
      <c r="B11" s="308"/>
      <c r="C11" s="264">
        <v>5</v>
      </c>
      <c r="D11" s="265" t="s">
        <v>1</v>
      </c>
      <c r="E11" s="266" t="str">
        <f>IF(VLOOKUP(CONCATENATE($C$3,"-",C11),Languages!$A:$D,1,TRUE)=CONCATENATE($C$3,"-",C11),VLOOKUP(CONCATENATE($C$3,"-",C11),Languages!$A:$D,Summary!$C$7,TRUE),NA())</f>
        <v>Yleisiä hallintatoimia</v>
      </c>
      <c r="F11" s="1118"/>
      <c r="H11" s="267" t="str">
        <f ca="1">VLOOKUP(VLOOKUP(CONCATENATE($C$3,"-",$C11),Data!$K:$O,5,FALSE),Parameters!$C$7:$F$10,Summary!$C$7,FALSE)</f>
        <v>Kypsyystaso 1</v>
      </c>
      <c r="I11" s="1196"/>
      <c r="J11" s="1197"/>
      <c r="K11" s="148"/>
      <c r="L11" s="154"/>
      <c r="M11" s="252"/>
      <c r="N11" s="808"/>
      <c r="O11" s="1243"/>
      <c r="P11" s="1243"/>
      <c r="Q11" s="1243"/>
      <c r="R11" s="1243"/>
      <c r="S11" s="1243"/>
      <c r="T11" s="809"/>
      <c r="U11" s="252"/>
    </row>
    <row r="12" spans="1:21" s="177" customFormat="1" ht="30" customHeight="1" x14ac:dyDescent="0.25">
      <c r="A12" s="166"/>
      <c r="B12" s="269"/>
      <c r="C12" s="170">
        <v>1</v>
      </c>
      <c r="D12" s="170" t="str">
        <f>IF(VLOOKUP(CONCATENATE($C$3,"-",C12),Languages!$A:$D,1,TRUE)=CONCATENATE($C$3,"-",C12),VLOOKUP(CONCATENATE($C$3,"-",C12),Languages!$A:$D,Summary!$C$7,TRUE),NA())</f>
        <v>Kyberturvallisuuden vastuiden jakaminen</v>
      </c>
      <c r="E12" s="170"/>
      <c r="F12" s="271"/>
      <c r="G12" s="271"/>
      <c r="H12" s="272"/>
      <c r="I12" s="272"/>
      <c r="J12" s="272"/>
      <c r="K12" s="272"/>
      <c r="L12" s="154"/>
      <c r="M12" s="252"/>
      <c r="N12" s="808"/>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09"/>
      <c r="U12" s="252"/>
    </row>
    <row r="13" spans="1:21" s="278" customFormat="1" ht="49.95" customHeight="1" x14ac:dyDescent="0.2">
      <c r="A13" s="275"/>
      <c r="B13" s="276"/>
      <c r="C13" s="1216" t="str">
        <f>IF(VLOOKUP(CONCATENATE($C$3,"-",$C12,"-0"),Languages!$A:$D,1,TRUE)=CONCATENATE($C$3,"-",$C12,"-0"),VLOOKUP(CONCATENATE($C$3,"-",$C12,"-0"),Languages!$A:$D,Summary!$C$7,TRUE),NA())</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D13" s="1216"/>
      <c r="E13" s="1216"/>
      <c r="F13" s="1216"/>
      <c r="G13" s="1216"/>
      <c r="H13" s="1216"/>
      <c r="I13" s="1216"/>
      <c r="J13" s="1216"/>
      <c r="K13" s="1216"/>
      <c r="L13" s="154"/>
      <c r="M13" s="252"/>
      <c r="N13" s="808"/>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09"/>
      <c r="U13" s="252"/>
    </row>
    <row r="14" spans="1:21" s="177" customFormat="1" ht="30" customHeight="1" x14ac:dyDescent="0.25">
      <c r="A14" s="166"/>
      <c r="B14" s="269"/>
      <c r="C14" s="170">
        <v>2</v>
      </c>
      <c r="D14" s="170" t="str">
        <f>IF(VLOOKUP(CONCATENATE($C$3,"-",C14),Languages!$A:$D,1,TRUE)=CONCATENATE($C$3,"-",C14),VLOOKUP(CONCATENATE($C$3,"-",C14),Languages!$A:$D,Summary!$C$7,TRUE),NA())</f>
        <v>Kyberturvallisuuteen keskittyvän henkilöstön kehittäminen</v>
      </c>
      <c r="E14" s="170"/>
      <c r="F14" s="292"/>
      <c r="G14" s="292" t="s">
        <v>16</v>
      </c>
      <c r="H14" s="293"/>
      <c r="I14" s="293"/>
      <c r="J14" s="293"/>
      <c r="K14" s="293"/>
      <c r="L14" s="154"/>
      <c r="M14" s="252"/>
      <c r="N14" s="808"/>
      <c r="O14" s="1203"/>
      <c r="P14" s="1185"/>
      <c r="Q14" s="1185"/>
      <c r="R14" s="1185"/>
      <c r="S14" s="1185"/>
      <c r="T14" s="809"/>
      <c r="U14" s="252"/>
    </row>
    <row r="15" spans="1:21" s="278" customFormat="1" ht="65.55" customHeight="1" x14ac:dyDescent="0.2">
      <c r="A15" s="275"/>
      <c r="B15" s="276"/>
      <c r="C15" s="1216" t="str">
        <f>IF(VLOOKUP(CONCATENATE($C$3,"-",$C14,"-0"),Languages!$A:$D,1,TRUE)=CONCATENATE($C$3,"-",$C14,"-0"),VLOOKUP(CONCATENATE($C$3,"-",$C14,"-0"),Languages!$A:$D,Summary!$C$7,TRUE),NA())</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D15" s="1216"/>
      <c r="E15" s="1216"/>
      <c r="F15" s="1216"/>
      <c r="G15" s="1216"/>
      <c r="H15" s="1216"/>
      <c r="I15" s="1216"/>
      <c r="J15" s="1216"/>
      <c r="K15" s="1216"/>
      <c r="L15" s="154"/>
      <c r="M15" s="252"/>
      <c r="N15" s="808"/>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09"/>
      <c r="U15" s="252"/>
    </row>
    <row r="16" spans="1:21" s="177" customFormat="1" ht="30" customHeight="1" x14ac:dyDescent="0.25">
      <c r="A16" s="166"/>
      <c r="B16" s="269"/>
      <c r="C16" s="170">
        <v>3</v>
      </c>
      <c r="D16" s="170" t="str">
        <f>IF(VLOOKUP(CONCATENATE($C$3,"-",C16),Languages!$A:$D,1,TRUE)=CONCATENATE($C$3,"-",C16),VLOOKUP(CONCATENATE($C$3,"-",C16),Languages!$A:$D,Summary!$C$7,TRUE),NA())</f>
        <v>Henkilöstöhallinnon prosessit</v>
      </c>
      <c r="E16" s="170"/>
      <c r="F16" s="292"/>
      <c r="G16" s="292" t="s">
        <v>16</v>
      </c>
      <c r="H16" s="293"/>
      <c r="I16" s="293"/>
      <c r="J16" s="293"/>
      <c r="K16" s="293"/>
      <c r="L16" s="154"/>
      <c r="M16" s="252"/>
      <c r="N16" s="808"/>
      <c r="O16" s="1203"/>
      <c r="P16" s="1185"/>
      <c r="Q16" s="1185"/>
      <c r="R16" s="1185"/>
      <c r="S16" s="1185"/>
      <c r="T16" s="809"/>
      <c r="U16" s="252"/>
    </row>
    <row r="17" spans="1:21" s="296" customFormat="1" ht="49.95" customHeight="1" x14ac:dyDescent="0.2">
      <c r="A17" s="305"/>
      <c r="B17" s="1115"/>
      <c r="C17" s="1216" t="str">
        <f>IF(VLOOKUP(CONCATENATE($C$3,"-",$C16,"-0"),Languages!$A:$D,1,TRUE)=CONCATENATE($C$3,"-",$C16,"-0"),VLOOKUP(CONCATENATE($C$3,"-",$C16,"-0"),Languages!$A:$D,Summary!$C$7,TRUE),NA())</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D17" s="1216"/>
      <c r="E17" s="1216"/>
      <c r="F17" s="1216"/>
      <c r="G17" s="1216"/>
      <c r="H17" s="1216"/>
      <c r="I17" s="1216"/>
      <c r="J17" s="1216"/>
      <c r="K17" s="1216"/>
      <c r="L17" s="154"/>
      <c r="M17" s="252"/>
      <c r="N17" s="808"/>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09"/>
      <c r="U17" s="252"/>
    </row>
    <row r="18" spans="1:21" s="177" customFormat="1" ht="30" customHeight="1" x14ac:dyDescent="0.25">
      <c r="A18" s="166"/>
      <c r="B18" s="269"/>
      <c r="C18" s="170">
        <v>4</v>
      </c>
      <c r="D18" s="170" t="str">
        <f>IF(VLOOKUP(CONCATENATE($C$3,"-",C18),Languages!$A:$D,1,TRUE)=CONCATENATE($C$3,"-",C18),VLOOKUP(CONCATENATE($C$3,"-",C18),Languages!$A:$D,Summary!$C$7,TRUE),NA())</f>
        <v>Koulutus ja kybertietoisuuden lisääminen</v>
      </c>
      <c r="E18" s="170"/>
      <c r="F18" s="292"/>
      <c r="G18" s="292" t="s">
        <v>16</v>
      </c>
      <c r="H18" s="293"/>
      <c r="I18" s="293"/>
      <c r="J18" s="293"/>
      <c r="K18" s="293"/>
      <c r="L18" s="154"/>
      <c r="M18" s="252"/>
      <c r="N18" s="808"/>
      <c r="O18" s="1203"/>
      <c r="P18" s="1185"/>
      <c r="Q18" s="1185"/>
      <c r="R18" s="1185"/>
      <c r="S18" s="1185"/>
      <c r="T18" s="809"/>
      <c r="U18" s="252"/>
    </row>
    <row r="19" spans="1:21" s="296" customFormat="1" ht="84.6" customHeight="1" x14ac:dyDescent="0.2">
      <c r="A19" s="305"/>
      <c r="B19" s="1115"/>
      <c r="C19" s="1216" t="str">
        <f>IF(VLOOKUP(CONCATENATE($C$3,"-",$C18,"-0"),Languages!$A:$D,1,TRUE)=CONCATENATE($C$3,"-",$C18,"-0"),VLOOKUP(CONCATENATE($C$3,"-",$C18,"-0"),Languages!$A:$D,Summary!$C$7,TRUE),NA())</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D19" s="1216"/>
      <c r="E19" s="1216"/>
      <c r="F19" s="1216"/>
      <c r="G19" s="1216"/>
      <c r="H19" s="1216"/>
      <c r="I19" s="1216"/>
      <c r="J19" s="1216"/>
      <c r="K19" s="1216"/>
      <c r="L19" s="154"/>
      <c r="M19" s="252"/>
      <c r="N19" s="808"/>
      <c r="O19" s="1202" t="str">
        <f>IF(VLOOKUP(CONCATENATE($C$3,"-",$C18),Import!$C$11:$H$485,2,FALSE)=0,"",VLOOKUP(CONCATENATE($C$3,"-",$C18),Import!$C$11:$H$485,2,FALSE))</f>
        <v/>
      </c>
      <c r="P19" s="1184" t="str">
        <f>IF(VLOOKUP(CONCATENATE($C$3,"-",$C18),Import!$C$11:$H$485,3,FALSE)=0,"",VLOOKUP(CONCATENATE($C$3,"-",$C18),Import!$C$11:$H$485,3,FALSE))</f>
        <v/>
      </c>
      <c r="Q19" s="1184" t="str">
        <f>IF(VLOOKUP(CONCATENATE($C$3,"-",$C18),Import!$C$11:$H$485,4,FALSE)=0,"",VLOOKUP(CONCATENATE($C$3,"-",$C18),Import!$C$11:$H$485,4,FALSE))</f>
        <v/>
      </c>
      <c r="R19" s="1184" t="str">
        <f>IF(VLOOKUP(CONCATENATE($C$3,"-",$C18),Import!$C$11:$H$485,5,FALSE)=0,"",VLOOKUP(CONCATENATE($C$3,"-",$C18),Import!$C$11:$H$485,5,FALSE))</f>
        <v/>
      </c>
      <c r="S19" s="1184" t="str">
        <f>IF(VLOOKUP(CONCATENATE($C$3,"-",$C18),Import!$C$11:$H$485,6,FALSE)=0,"",VLOOKUP(CONCATENATE($C$3,"-",$C18),Import!$C$11:$H$485,6,FALSE))</f>
        <v/>
      </c>
      <c r="T19" s="809"/>
      <c r="U19" s="252"/>
    </row>
    <row r="20" spans="1:21" s="177" customFormat="1" ht="30" customHeight="1" x14ac:dyDescent="0.25">
      <c r="A20" s="166"/>
      <c r="B20" s="269"/>
      <c r="C20" s="170">
        <v>5</v>
      </c>
      <c r="D20" s="170" t="str">
        <f>IF(VLOOKUP(CONCATENATE($C$3,"-",C20),Languages!$A:$D,1,TRUE)=CONCATENATE($C$3,"-",C20),VLOOKUP(CONCATENATE($C$3,"-",C20),Languages!$A:$D,Summary!$C$7,TRUE),NA())</f>
        <v>Yleisiä hallintatoimia</v>
      </c>
      <c r="E20" s="170"/>
      <c r="F20" s="292"/>
      <c r="G20" s="292" t="s">
        <v>16</v>
      </c>
      <c r="H20" s="293"/>
      <c r="I20" s="293"/>
      <c r="J20" s="293"/>
      <c r="K20" s="293"/>
      <c r="L20" s="154"/>
      <c r="M20" s="252"/>
      <c r="N20" s="808"/>
      <c r="O20" s="1203"/>
      <c r="P20" s="1185"/>
      <c r="Q20" s="1185"/>
      <c r="R20" s="1185"/>
      <c r="S20" s="1185"/>
      <c r="T20" s="809"/>
      <c r="U20" s="252"/>
    </row>
    <row r="21" spans="1:21" s="278" customFormat="1" ht="49.8" customHeight="1" x14ac:dyDescent="0.2">
      <c r="A21" s="305"/>
      <c r="B21" s="306"/>
      <c r="C21" s="1216"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16"/>
      <c r="E21" s="1216"/>
      <c r="F21" s="1216"/>
      <c r="G21" s="1216"/>
      <c r="H21" s="1216"/>
      <c r="I21" s="1216"/>
      <c r="J21" s="1216"/>
      <c r="K21" s="1216"/>
      <c r="L21" s="154"/>
      <c r="M21" s="252"/>
      <c r="N21" s="808"/>
      <c r="O21" s="1202" t="str">
        <f>IF(VLOOKUP(CONCATENATE($C$3,"-",$C20),Import!$C$11:$H$485,2,FALSE)=0,"",VLOOKUP(CONCATENATE($C$3,"-",$C20),Import!$C$11:$H$485,2,FALSE))</f>
        <v/>
      </c>
      <c r="P21" s="1184" t="str">
        <f>IF(VLOOKUP(CONCATENATE($C$3,"-",$C20),Import!$C$11:$H$485,3,FALSE)=0,"",VLOOKUP(CONCATENATE($C$3,"-",$C20),Import!$C$11:$H$485,3,FALSE))</f>
        <v/>
      </c>
      <c r="Q21" s="1184" t="str">
        <f>IF(VLOOKUP(CONCATENATE($C$3,"-",$C20),Import!$C$11:$H$485,4,FALSE)=0,"",VLOOKUP(CONCATENATE($C$3,"-",$C20),Import!$C$11:$H$485,4,FALSE))</f>
        <v/>
      </c>
      <c r="R21" s="1184" t="str">
        <f>IF(VLOOKUP(CONCATENATE($C$3,"-",$C20),Import!$C$11:$H$485,5,FALSE)=0,"",VLOOKUP(CONCATENATE($C$3,"-",$C20),Import!$C$11:$H$485,5,FALSE))</f>
        <v/>
      </c>
      <c r="S21" s="1184" t="str">
        <f>IF(VLOOKUP(CONCATENATE($C$3,"-",$C20),Import!$C$11:$H$485,6,FALSE)=0,"",VLOOKUP(CONCATENATE($C$3,"-",$C20),Import!$C$11:$H$485,6,FALSE))</f>
        <v/>
      </c>
      <c r="T21" s="809"/>
      <c r="U21" s="252"/>
    </row>
    <row r="22" spans="1:21" s="278" customFormat="1" ht="19.8" customHeight="1" x14ac:dyDescent="0.2">
      <c r="A22" s="305"/>
      <c r="B22" s="306"/>
      <c r="C22" s="1116"/>
      <c r="D22" s="1116"/>
      <c r="E22" s="1116"/>
      <c r="F22" s="1116"/>
      <c r="G22" s="1116"/>
      <c r="H22" s="1116"/>
      <c r="I22" s="1116"/>
      <c r="J22" s="1116"/>
      <c r="K22" s="1116"/>
      <c r="L22" s="154"/>
      <c r="M22" s="252"/>
      <c r="N22" s="1125"/>
      <c r="O22" s="1203"/>
      <c r="P22" s="1185"/>
      <c r="Q22" s="1185"/>
      <c r="R22" s="1185"/>
      <c r="S22" s="1185"/>
      <c r="T22" s="1125"/>
      <c r="U22" s="252"/>
    </row>
    <row r="23" spans="1:21" s="278" customFormat="1" ht="19.8" customHeight="1" x14ac:dyDescent="0.2">
      <c r="A23" s="305"/>
      <c r="B23" s="1121"/>
      <c r="C23" s="1122"/>
      <c r="D23" s="1122"/>
      <c r="E23" s="1122"/>
      <c r="F23" s="1122"/>
      <c r="G23" s="1122"/>
      <c r="H23" s="1122"/>
      <c r="I23" s="1122"/>
      <c r="J23" s="1122"/>
      <c r="K23" s="1122"/>
      <c r="L23" s="1123"/>
      <c r="M23" s="252"/>
      <c r="N23" s="810"/>
      <c r="O23" s="1119"/>
      <c r="P23" s="1119"/>
      <c r="Q23" s="1119"/>
      <c r="R23" s="1119"/>
      <c r="S23" s="1119"/>
      <c r="T23" s="811"/>
      <c r="U23" s="252"/>
    </row>
    <row r="24" spans="1:21" s="278" customFormat="1" ht="18" customHeight="1" x14ac:dyDescent="0.25">
      <c r="A24" s="305"/>
      <c r="B24" s="655"/>
      <c r="C24" s="655"/>
      <c r="D24" s="655"/>
      <c r="E24" s="655"/>
      <c r="F24" s="655"/>
      <c r="G24" s="655"/>
      <c r="H24" s="655"/>
      <c r="I24" s="655"/>
      <c r="J24" s="655"/>
      <c r="K24" s="655"/>
      <c r="L24" s="656"/>
      <c r="M24" s="135"/>
      <c r="N24" s="135"/>
      <c r="O24" s="251"/>
      <c r="P24" s="250"/>
      <c r="Q24" s="771"/>
      <c r="R24" s="250"/>
      <c r="S24" s="250"/>
      <c r="T24" s="135"/>
      <c r="U24" s="135"/>
    </row>
    <row r="25" spans="1:21" s="278" customFormat="1" ht="19.95" customHeight="1" x14ac:dyDescent="0.2">
      <c r="A25" s="305"/>
      <c r="B25" s="649"/>
      <c r="C25" s="647"/>
      <c r="D25" s="647"/>
      <c r="E25" s="647"/>
      <c r="F25" s="647"/>
      <c r="G25" s="647"/>
      <c r="H25" s="647"/>
      <c r="I25" s="647"/>
      <c r="J25" s="647"/>
      <c r="K25" s="647"/>
      <c r="L25" s="648"/>
      <c r="M25" s="252"/>
      <c r="N25" s="464" t="str">
        <f>IF(VLOOKUP("KM116",Languages!$A:$D,1,TRUE)="KM116",VLOOKUP("KM116",Languages!$A:$D,Summary!$C$7,TRUE),NA())</f>
        <v>EDELLINEN ARVIOINTI</v>
      </c>
      <c r="O25" s="430"/>
      <c r="P25" s="255"/>
      <c r="Q25" s="772" t="str">
        <f>IF(VLOOKUP("KM110",Languages!$A:$D,1,TRUE)="KM110",VLOOKUP("KM110",Languages!$A:$D,Summary!$C$7,TRUE),NA())</f>
        <v>Päivämäärä</v>
      </c>
      <c r="R25" s="255"/>
      <c r="S25" s="255"/>
      <c r="T25" s="147"/>
      <c r="U25" s="252"/>
    </row>
    <row r="26" spans="1:21" s="177" customFormat="1" ht="19.95" customHeight="1" x14ac:dyDescent="0.25">
      <c r="A26" s="166"/>
      <c r="B26" s="269"/>
      <c r="C26" s="170">
        <v>1</v>
      </c>
      <c r="D26" s="170" t="str">
        <f>IF(VLOOKUP(CONCATENATE($C$3,"-",C26),Languages!$A:$D,1,TRUE)=CONCATENATE($C$3,"-",C26),VLOOKUP(CONCATENATE($C$3,"-",C26),Languages!$A:$D,Summary!$C$7,TRUE),NA())</f>
        <v>Kyberturvallisuuden vastuiden jakaminen</v>
      </c>
      <c r="E26" s="170"/>
      <c r="F26" s="271"/>
      <c r="G26" s="271"/>
      <c r="H26" s="272"/>
      <c r="I26" s="272"/>
      <c r="J26" s="272"/>
      <c r="K26" s="272"/>
      <c r="L26" s="154"/>
      <c r="M26" s="305"/>
      <c r="N26" s="306"/>
      <c r="O26" s="431"/>
      <c r="P26" s="426"/>
      <c r="Q26" s="697"/>
      <c r="R26" s="770"/>
      <c r="S26" s="770"/>
      <c r="T26" s="277"/>
      <c r="U26" s="305"/>
    </row>
    <row r="27" spans="1:21" s="285" customFormat="1" ht="19.95" customHeight="1" x14ac:dyDescent="0.2">
      <c r="A27" s="304"/>
      <c r="B27" s="279"/>
      <c r="C27" s="280" t="str">
        <f>IF(VLOOKUP("GEN-LEVEL",Languages!$A:$D,1,TRUE)="GEN-LEVEL",VLOOKUP("GEN-LEVEL",Languages!$A:$D,Summary!$C$7,TRUE),NA())</f>
        <v>Taso</v>
      </c>
      <c r="D27" s="280"/>
      <c r="E27" s="281" t="str">
        <f>IF(VLOOKUP("GEN-PRACTICE",Languages!$A:$D,1,TRUE)="GEN-PRACTICE",VLOOKUP("GEN-PRACTICE",Languages!$A:$D,Summary!$C$7,TRUE),NA())</f>
        <v>Käytäntö</v>
      </c>
      <c r="F27" s="282"/>
      <c r="G27" s="904" t="str">
        <f>IF(VLOOKUP("GEN-ANSWER",Languages!$A:$D,1,TRUE)="GEN-ANSWER",VLOOKUP("GEN-ANSWER",Languages!$A:$D,Summary!$C$7,TRUE),NA())</f>
        <v>Vastaus</v>
      </c>
      <c r="H27" s="905" t="str">
        <f>IF(VLOOKUP("KM112",Languages!$A:$D,1,TRUE)="KM112",VLOOKUP("KM112",Languages!$A:$D,Summary!$C$7,TRUE),NA())</f>
        <v>Kommentit</v>
      </c>
      <c r="I27" s="905" t="str">
        <f>IF(VLOOKUP("KM113",Languages!$A:$D,1,TRUE)="KM113",VLOOKUP("KM113",Languages!$A:$D,Summary!$C$7,TRUE),NA())</f>
        <v>Sisäinen viittaus</v>
      </c>
      <c r="J27" s="905" t="str">
        <f>IF(VLOOKUP("KM114",Languages!$A:$D,1,TRUE)="KM114",VLOOKUP("KM114",Languages!$A:$D,Summary!$C$7,TRUE),NA())</f>
        <v>Ulkoinen viittaus</v>
      </c>
      <c r="K27" s="905" t="str">
        <f>IF(VLOOKUP("KM115",Languages!$A:$D,1,TRUE)="KM115",VLOOKUP("KM115",Languages!$A:$D,Summary!$C$7,TRUE),NA())</f>
        <v>Kehityskohde</v>
      </c>
      <c r="L27" s="283"/>
      <c r="M27" s="284"/>
      <c r="N27" s="279"/>
      <c r="O27" s="463" t="str">
        <f>IF(VLOOKUP("GEN-ANSWER",Languages!$A:$D,1,TRUE)="GEN-ANSWER",VLOOKUP("GEN-ANSWER",Languages!$A:$D,Summary!$C$7,TRUE),NA())</f>
        <v>Vastaus</v>
      </c>
      <c r="P27" s="463" t="str">
        <f>IF(VLOOKUP("KM112",Languages!$A:$D,1,TRUE)="KM112",VLOOKUP("KM112",Languages!$A:$D,Summary!$C$7,TRUE),NA())</f>
        <v>Kommentit</v>
      </c>
      <c r="Q27" s="463" t="str">
        <f>IF(VLOOKUP("KM113",Languages!$A:$D,1,TRUE)="KM113",VLOOKUP("KM113",Languages!$A:$D,Summary!$C$7,TRUE),NA())</f>
        <v>Sisäinen viittaus</v>
      </c>
      <c r="R27" s="463" t="str">
        <f>IF(VLOOKUP("KM114",Languages!$A:$D,1,TRUE)="KM114",VLOOKUP("KM114",Languages!$A:$D,Summary!$C$7,TRUE),NA())</f>
        <v>Ulkoinen viittaus</v>
      </c>
      <c r="S27" s="463" t="str">
        <f>IF(VLOOKUP("KM115",Languages!$A:$D,1,TRUE)="KM115",VLOOKUP("KM115",Languages!$A:$D,Summary!$C$7,TRUE),NA())</f>
        <v>Kehityskohde</v>
      </c>
      <c r="T27" s="283"/>
      <c r="U27" s="284"/>
    </row>
    <row r="28" spans="1:21" s="289" customFormat="1" ht="34.950000000000003" customHeight="1" x14ac:dyDescent="0.2">
      <c r="A28" s="275"/>
      <c r="B28" s="1190"/>
      <c r="C28" s="1235">
        <v>1</v>
      </c>
      <c r="D28" s="387" t="s">
        <v>5</v>
      </c>
      <c r="E28" s="467" t="str">
        <f>IF(VLOOKUP(CONCATENATE($C$3,"-",$D28),Languages!$A:$D,1,TRUE)=CONCATENATE($C$3,"-",$D28),VLOOKUP(CONCATENATE($C$3,"-",$D28),Languages!$A:$D,Summary!$C$7,TRUE),NA())</f>
        <v>Erilaisia tarkastuksia (esimerkiksi taustojen tarkistuksia, huumetestejä) suoritetaan uusia työntekijöitä palkatessa. Tasolla 1 tämän ei tarvitse olla systemaattista ja säännöllistä.</v>
      </c>
      <c r="F28" s="386">
        <f t="shared" ref="F28:F34" si="0">IFERROR(INT(LEFT($G28,1)),0)</f>
        <v>0</v>
      </c>
      <c r="G28" s="445" t="s">
        <v>2542</v>
      </c>
      <c r="H28" s="446"/>
      <c r="I28" s="446"/>
      <c r="J28" s="446"/>
      <c r="K28" s="447"/>
      <c r="L28" s="154"/>
      <c r="M28" s="252"/>
      <c r="N28" s="149"/>
      <c r="O28" s="889" t="str">
        <f>VLOOKUP(VLOOKUP($C$3&amp;"-"&amp;$D28,Import!$C:$D,2,FALSE),Parameters!$C$18:$F$22,Summary!$C$7,FALSE)</f>
        <v xml:space="preserve">0 - Vastaus puuttuu </v>
      </c>
      <c r="P28" s="931" t="str">
        <f>IF(VLOOKUP($C$3&amp;"-"&amp;$D28,Import!$C:$H,3,FALSE)=0,"",VLOOKUP($C$3&amp;"-"&amp;$D28,Import!$C:$H,3,FALSE))</f>
        <v/>
      </c>
      <c r="Q28" s="931" t="str">
        <f>IF(VLOOKUP($C$3&amp;"-"&amp;$D28,Import!$C:$H,4,FALSE)=0,"",VLOOKUP($C$3&amp;"-"&amp;$D28,Import!$C:$H,4,FALSE))</f>
        <v/>
      </c>
      <c r="R28" s="931" t="str">
        <f>IF(VLOOKUP($C$3&amp;"-"&amp;$D28,Import!$C:$H,5,FALSE)=0,"",VLOOKUP($C$3&amp;"-"&amp;$D28,Import!$C:$H,5,FALSE))</f>
        <v/>
      </c>
      <c r="S28" s="932" t="str">
        <f>IF(VLOOKUP($C$3&amp;"-"&amp;$D28,Import!$C:$H,6,FALSE)=0,"",VLOOKUP($C$3&amp;"-"&amp;$D28,Import!$C:$H,6,FALSE))</f>
        <v/>
      </c>
      <c r="T28" s="154"/>
      <c r="U28" s="252"/>
    </row>
    <row r="29" spans="1:21" s="289" customFormat="1" ht="41.4" customHeight="1" x14ac:dyDescent="0.2">
      <c r="A29" s="275"/>
      <c r="B29" s="1190"/>
      <c r="C29" s="1237"/>
      <c r="D29" s="407" t="s">
        <v>7</v>
      </c>
      <c r="E29" s="474" t="str">
        <f>IF(VLOOKUP(CONCATENATE($C$3,"-",$D29),Languages!$A:$D,1,TRUE)=CONCATENATE($C$3,"-",$D29),VLOOKUP(CONCATENATE($C$3,"-",$D29),Languages!$A:$D,Summary!$C$7,TRUE),NA())</f>
        <v>Työsuhteen päättymiseen liittyvissä menettelyissä huomioidaan kyberturvallisuus. Tasolla 1 tämän ei tarvitse olla systemaattista ja säännöllistä.</v>
      </c>
      <c r="F29" s="393">
        <f t="shared" si="0"/>
        <v>0</v>
      </c>
      <c r="G29" s="449" t="s">
        <v>2542</v>
      </c>
      <c r="H29" s="441"/>
      <c r="I29" s="441"/>
      <c r="J29" s="441"/>
      <c r="K29" s="450"/>
      <c r="L29" s="154"/>
      <c r="M29" s="252"/>
      <c r="N29" s="149"/>
      <c r="O29" s="897" t="str">
        <f>VLOOKUP(VLOOKUP($C$3&amp;"-"&amp;$D29,Import!$C:$D,2,FALSE),Parameters!$C$18:$F$22,Summary!$C$7,FALSE)</f>
        <v xml:space="preserve">0 - Vastaus puuttuu </v>
      </c>
      <c r="P29" s="933" t="str">
        <f>IF(VLOOKUP($C$3&amp;"-"&amp;$D29,Import!$C:$H,3,FALSE)=0,"",VLOOKUP($C$3&amp;"-"&amp;$D29,Import!$C:$H,3,FALSE))</f>
        <v/>
      </c>
      <c r="Q29" s="933" t="str">
        <f>IF(VLOOKUP($C$3&amp;"-"&amp;$D29,Import!$C:$H,4,FALSE)=0,"",VLOOKUP($C$3&amp;"-"&amp;$D29,Import!$C:$H,4,FALSE))</f>
        <v/>
      </c>
      <c r="R29" s="933" t="str">
        <f>IF(VLOOKUP($C$3&amp;"-"&amp;$D29,Import!$C:$H,5,FALSE)=0,"",VLOOKUP($C$3&amp;"-"&amp;$D29,Import!$C:$H,5,FALSE))</f>
        <v/>
      </c>
      <c r="S29" s="934" t="str">
        <f>IF(VLOOKUP($C$3&amp;"-"&amp;$D29,Import!$C:$H,6,FALSE)=0,"",VLOOKUP($C$3&amp;"-"&amp;$D29,Import!$C:$H,6,FALSE))</f>
        <v/>
      </c>
      <c r="T29" s="154"/>
      <c r="U29" s="252"/>
    </row>
    <row r="30" spans="1:21" s="289" customFormat="1" ht="34.950000000000003" customHeight="1" x14ac:dyDescent="0.2">
      <c r="A30" s="275"/>
      <c r="B30" s="1190"/>
      <c r="C30" s="1217">
        <v>2</v>
      </c>
      <c r="D30" s="387" t="s">
        <v>8</v>
      </c>
      <c r="E30" s="467" t="str">
        <f>IF(VLOOKUP(CONCATENATE($C$3,"-",$D30),Languages!$A:$D,1,TRUE)=CONCATENATE($C$3,"-",$D30),VLOOKUP(CONCATENATE($C$3,"-",$D30),Languages!$A:$D,Summary!$C$7,TRUE),NA())</f>
        <v>Soveltuvia tarkastuksia suoritetaan sellaisille työntekijöille, joilla on käyttö- tai pääsyoikeus toiminnon kannalta tärkeisiin laitteisiin, ohjelmistoihin tai tietovarantoihin.</v>
      </c>
      <c r="F30" s="386">
        <f t="shared" si="0"/>
        <v>0</v>
      </c>
      <c r="G30" s="445" t="s">
        <v>2542</v>
      </c>
      <c r="H30" s="446"/>
      <c r="I30" s="446"/>
      <c r="J30" s="446"/>
      <c r="K30" s="447"/>
      <c r="L30" s="154"/>
      <c r="M30" s="252"/>
      <c r="N30" s="149"/>
      <c r="O30" s="889" t="str">
        <f>VLOOKUP(VLOOKUP($C$3&amp;"-"&amp;$D30,Import!$C:$D,2,FALSE),Parameters!$C$18:$F$22,Summary!$C$7,FALSE)</f>
        <v xml:space="preserve">0 - Vastaus puuttuu </v>
      </c>
      <c r="P30" s="931" t="str">
        <f>IF(VLOOKUP($C$3&amp;"-"&amp;$D30,Import!$C:$H,3,FALSE)=0,"",VLOOKUP($C$3&amp;"-"&amp;$D30,Import!$C:$H,3,FALSE))</f>
        <v/>
      </c>
      <c r="Q30" s="931" t="str">
        <f>IF(VLOOKUP($C$3&amp;"-"&amp;$D30,Import!$C:$H,4,FALSE)=0,"",VLOOKUP($C$3&amp;"-"&amp;$D30,Import!$C:$H,4,FALSE))</f>
        <v/>
      </c>
      <c r="R30" s="931" t="str">
        <f>IF(VLOOKUP($C$3&amp;"-"&amp;$D30,Import!$C:$H,5,FALSE)=0,"",VLOOKUP($C$3&amp;"-"&amp;$D30,Import!$C:$H,5,FALSE))</f>
        <v/>
      </c>
      <c r="S30" s="932" t="str">
        <f>IF(VLOOKUP($C$3&amp;"-"&amp;$D30,Import!$C:$H,6,FALSE)=0,"",VLOOKUP($C$3&amp;"-"&amp;$D30,Import!$C:$H,6,FALSE))</f>
        <v/>
      </c>
      <c r="T30" s="154"/>
      <c r="U30" s="252"/>
    </row>
    <row r="31" spans="1:21" s="289" customFormat="1" ht="34.950000000000003" customHeight="1" x14ac:dyDescent="0.2">
      <c r="A31" s="275"/>
      <c r="B31" s="1190"/>
      <c r="C31" s="1218"/>
      <c r="D31" s="407" t="s">
        <v>9</v>
      </c>
      <c r="E31" s="472" t="str">
        <f>IF(VLOOKUP(CONCATENATE($C$3,"-",$D31),Languages!$A:$D,1,TRUE)=CONCATENATE($C$3,"-",$D31),VLOOKUP(CONCATENATE($C$3,"-",$D31),Languages!$A:$D,Summary!$C$7,TRUE),NA())</f>
        <v>Työntekijöiden sisäisiin siirtoihin liittyvissä menettelyissä huomioidaan kyberturvallisuus. (huomioidaan kriittiset työyhdistelmät, oikeudet, tarve mahdollisille taustatarkistuksille/ turvallisuusselvityksille)</v>
      </c>
      <c r="F31" s="393">
        <f t="shared" si="0"/>
        <v>0</v>
      </c>
      <c r="G31" s="449" t="s">
        <v>2542</v>
      </c>
      <c r="H31" s="441"/>
      <c r="I31" s="441"/>
      <c r="J31" s="441"/>
      <c r="K31" s="450"/>
      <c r="L31" s="154"/>
      <c r="M31" s="252"/>
      <c r="N31" s="149"/>
      <c r="O31" s="897" t="str">
        <f>VLOOKUP(VLOOKUP($C$3&amp;"-"&amp;$D31,Import!$C:$D,2,FALSE),Parameters!$C$18:$F$22,Summary!$C$7,FALSE)</f>
        <v xml:space="preserve">0 - Vastaus puuttuu </v>
      </c>
      <c r="P31" s="933" t="str">
        <f>IF(VLOOKUP($C$3&amp;"-"&amp;$D31,Import!$C:$H,3,FALSE)=0,"",VLOOKUP($C$3&amp;"-"&amp;$D31,Import!$C:$H,3,FALSE))</f>
        <v/>
      </c>
      <c r="Q31" s="933" t="str">
        <f>IF(VLOOKUP($C$3&amp;"-"&amp;$D31,Import!$C:$H,4,FALSE)=0,"",VLOOKUP($C$3&amp;"-"&amp;$D31,Import!$C:$H,4,FALSE))</f>
        <v/>
      </c>
      <c r="R31" s="933" t="str">
        <f>IF(VLOOKUP($C$3&amp;"-"&amp;$D31,Import!$C:$H,5,FALSE)=0,"",VLOOKUP($C$3&amp;"-"&amp;$D31,Import!$C:$H,5,FALSE))</f>
        <v/>
      </c>
      <c r="S31" s="934" t="str">
        <f>IF(VLOOKUP($C$3&amp;"-"&amp;$D31,Import!$C:$H,6,FALSE)=0,"",VLOOKUP($C$3&amp;"-"&amp;$D31,Import!$C:$H,6,FALSE))</f>
        <v/>
      </c>
      <c r="T31" s="154"/>
      <c r="U31" s="252"/>
    </row>
    <row r="32" spans="1:21" s="289" customFormat="1" ht="60.6" customHeight="1" x14ac:dyDescent="0.2">
      <c r="A32" s="275"/>
      <c r="B32" s="1190"/>
      <c r="C32" s="1218"/>
      <c r="D32" s="389" t="s">
        <v>10</v>
      </c>
      <c r="E32" s="471" t="str">
        <f>IF(VLOOKUP(CONCATENATE($C$3,"-",$D32),Languages!$A:$D,1,TRUE)=CONCATENATE($C$3,"-",$D32),VLOOKUP(CONCATENATE($C$3,"-",$D32),Languages!$A:$D,Summary!$C$7,TRUE),NA())</f>
        <v>Henkilöstö on tietoinen vastuistaan ja velvoitteistaan koskien (IT ja OT) laitteiden, ohjelmistojen ja tietovarantojen suojaamista ja hyväksyttävää käyttöä.</v>
      </c>
      <c r="F32" s="386">
        <f t="shared" si="0"/>
        <v>0</v>
      </c>
      <c r="G32" s="445" t="s">
        <v>2542</v>
      </c>
      <c r="H32" s="442"/>
      <c r="I32" s="442"/>
      <c r="J32" s="442"/>
      <c r="K32" s="451"/>
      <c r="L32" s="154"/>
      <c r="M32" s="252"/>
      <c r="N32" s="149"/>
      <c r="O32" s="889" t="str">
        <f>VLOOKUP(VLOOKUP($C$3&amp;"-"&amp;$D32,Import!$C:$D,2,FALSE),Parameters!$C$18:$F$22,Summary!$C$7,FALSE)</f>
        <v xml:space="preserve">0 - Vastaus puuttuu </v>
      </c>
      <c r="P32" s="921" t="str">
        <f>IF(VLOOKUP($C$3&amp;"-"&amp;$D32,Import!$C:$H,3,FALSE)=0,"",VLOOKUP($C$3&amp;"-"&amp;$D32,Import!$C:$H,3,FALSE))</f>
        <v/>
      </c>
      <c r="Q32" s="921" t="str">
        <f>IF(VLOOKUP($C$3&amp;"-"&amp;$D32,Import!$C:$H,4,FALSE)=0,"",VLOOKUP($C$3&amp;"-"&amp;$D32,Import!$C:$H,4,FALSE))</f>
        <v/>
      </c>
      <c r="R32" s="921" t="str">
        <f>IF(VLOOKUP($C$3&amp;"-"&amp;$D32,Import!$C:$H,5,FALSE)=0,"",VLOOKUP($C$3&amp;"-"&amp;$D32,Import!$C:$H,5,FALSE))</f>
        <v/>
      </c>
      <c r="S32" s="922" t="str">
        <f>IF(VLOOKUP($C$3&amp;"-"&amp;$D32,Import!$C:$H,6,FALSE)=0,"",VLOOKUP($C$3&amp;"-"&amp;$D32,Import!$C:$H,6,FALSE))</f>
        <v/>
      </c>
      <c r="T32" s="154"/>
      <c r="U32" s="252"/>
    </row>
    <row r="33" spans="1:21" s="289" customFormat="1" ht="60.6" customHeight="1" x14ac:dyDescent="0.2">
      <c r="A33" s="275"/>
      <c r="B33" s="1190"/>
      <c r="C33" s="1221">
        <v>3</v>
      </c>
      <c r="D33" s="1027" t="s">
        <v>11</v>
      </c>
      <c r="E33" s="472" t="str">
        <f>IF(VLOOKUP(CONCATENATE($C$3,"-",$D33),Languages!$A:$D,1,TRUE)=CONCATENATE($C$3,"-",$D33),VLOOKUP(CONCATENATE($C$3,"-",$D33),Languages!$A:$D,Summary!$C$7,TRUE),NA())</f>
        <v>Jokaista työtehtävää varten teetetään soveltuvat tarkistukset, jotka ovat suhteessa työtehtävän riskeihin (mukaan lukien työntekijät, toimittajat ja alihankkijat).</v>
      </c>
      <c r="F33" s="386">
        <f t="shared" si="0"/>
        <v>0</v>
      </c>
      <c r="G33" s="1021" t="s">
        <v>2542</v>
      </c>
      <c r="H33" s="1022"/>
      <c r="I33" s="1022"/>
      <c r="J33" s="1022"/>
      <c r="K33" s="1023"/>
      <c r="L33" s="154"/>
      <c r="M33" s="252"/>
      <c r="N33" s="149"/>
      <c r="O33" s="889" t="str">
        <f>VLOOKUP(VLOOKUP($C$3&amp;"-"&amp;$D33,Import!$C:$D,2,FALSE),Parameters!$C$18:$F$22,Summary!$C$7,FALSE)</f>
        <v xml:space="preserve">0 - Vastaus puuttuu </v>
      </c>
      <c r="P33" s="1024"/>
      <c r="Q33" s="1024"/>
      <c r="R33" s="1024"/>
      <c r="S33" s="1025"/>
      <c r="T33" s="154"/>
      <c r="U33" s="252"/>
    </row>
    <row r="34" spans="1:21" s="289" customFormat="1" ht="45" customHeight="1" x14ac:dyDescent="0.2">
      <c r="A34" s="275"/>
      <c r="B34" s="1190"/>
      <c r="C34" s="1222"/>
      <c r="D34" s="392" t="s">
        <v>12</v>
      </c>
      <c r="E34" s="472" t="str">
        <f>IF(VLOOKUP(CONCATENATE($C$3,"-",$D34),Languages!$A:$D,1,TRUE)=CONCATENATE($C$3,"-",$D34),VLOOKUP(CONCATENATE($C$3,"-",$D34),Languages!$A:$D,Summary!$C$7,TRUE),NA())</f>
        <v xml:space="preserve">Organisaatiolla on muodollinen vastuullisuusprosessi, johon sisältyy kurinpitomenettelyhenkilöstölle, joka ei noudata määriteltyjä turvallisuuspolitiikkoja ja menettelyjä. </v>
      </c>
      <c r="F34" s="393">
        <f t="shared" si="0"/>
        <v>0</v>
      </c>
      <c r="G34" s="449" t="s">
        <v>2542</v>
      </c>
      <c r="H34" s="444"/>
      <c r="I34" s="444"/>
      <c r="J34" s="444"/>
      <c r="K34" s="453"/>
      <c r="L34" s="154"/>
      <c r="M34" s="252"/>
      <c r="N34" s="149"/>
      <c r="O34" s="897" t="str">
        <f>VLOOKUP(VLOOKUP($C$3&amp;"-"&amp;$D34,Import!$C:$D,2,FALSE),Parameters!$C$18:$F$22,Summary!$C$7,FALSE)</f>
        <v xml:space="preserve">0 - Vastaus puuttuu </v>
      </c>
      <c r="P34" s="923" t="str">
        <f>IF(VLOOKUP($C$3&amp;"-"&amp;$D34,Import!$C:$H,3,FALSE)=0,"",VLOOKUP($C$3&amp;"-"&amp;$D34,Import!$C:$H,3,FALSE))</f>
        <v/>
      </c>
      <c r="Q34" s="923" t="str">
        <f>IF(VLOOKUP($C$3&amp;"-"&amp;$D34,Import!$C:$H,4,FALSE)=0,"",VLOOKUP($C$3&amp;"-"&amp;$D34,Import!$C:$H,4,FALSE))</f>
        <v/>
      </c>
      <c r="R34" s="923" t="str">
        <f>IF(VLOOKUP($C$3&amp;"-"&amp;$D34,Import!$C:$H,5,FALSE)=0,"",VLOOKUP($C$3&amp;"-"&amp;$D34,Import!$C:$H,5,FALSE))</f>
        <v/>
      </c>
      <c r="S34" s="924" t="str">
        <f>IF(VLOOKUP($C$3&amp;"-"&amp;$D34,Import!$C:$H,6,FALSE)=0,"",VLOOKUP($C$3&amp;"-"&amp;$D34,Import!$C:$H,6,FALSE))</f>
        <v/>
      </c>
      <c r="T34" s="154"/>
      <c r="U34" s="252"/>
    </row>
    <row r="35" spans="1:21" s="177" customFormat="1" ht="30" customHeight="1" x14ac:dyDescent="0.25">
      <c r="A35" s="166"/>
      <c r="B35" s="269"/>
      <c r="C35" s="170">
        <v>2</v>
      </c>
      <c r="D35" s="170" t="str">
        <f>IF(VLOOKUP(CONCATENATE($C$3,"-",C35),Languages!$A:$D,1,TRUE)=CONCATENATE($C$3,"-",C35),VLOOKUP(CONCATENATE($C$3,"-",C35),Languages!$A:$D,Summary!$C$7,TRUE),NA())</f>
        <v>Kyberturvallisuuteen keskittyvän henkilöstön kehittäminen</v>
      </c>
      <c r="E35" s="170"/>
      <c r="F35" s="292"/>
      <c r="G35" s="907"/>
      <c r="H35" s="929"/>
      <c r="I35" s="929"/>
      <c r="J35" s="929"/>
      <c r="K35" s="929"/>
      <c r="L35" s="154"/>
      <c r="M35" s="252"/>
      <c r="N35" s="149"/>
      <c r="O35" s="292"/>
      <c r="P35" s="293"/>
      <c r="Q35" s="293"/>
      <c r="R35" s="293"/>
      <c r="S35" s="293"/>
      <c r="T35" s="154"/>
      <c r="U35" s="252"/>
    </row>
    <row r="36" spans="1:21" s="285" customFormat="1" ht="19.95" customHeight="1" x14ac:dyDescent="0.2">
      <c r="A36" s="304"/>
      <c r="B36" s="279"/>
      <c r="C36" s="280" t="str">
        <f>IF(VLOOKUP("GEN-LEVEL",Languages!$A:$D,1,TRUE)="GEN-LEVEL",VLOOKUP("GEN-LEVEL",Languages!$A:$D,Summary!$C$7,TRUE),NA())</f>
        <v>Taso</v>
      </c>
      <c r="D36" s="280"/>
      <c r="E36" s="281" t="str">
        <f>IF(VLOOKUP("GEN-PRACTICE",Languages!$A:$D,1,TRUE)="GEN-PRACTICE",VLOOKUP("GEN-PRACTICE",Languages!$A:$D,Summary!$C$7,TRUE),NA())</f>
        <v>Käytäntö</v>
      </c>
      <c r="F36" s="282"/>
      <c r="G36" s="904" t="str">
        <f>IF(VLOOKUP("GEN-ANSWER",Languages!$A:$D,1,TRUE)="GEN-ANSWER",VLOOKUP("GEN-ANSWER",Languages!$A:$D,Summary!$C$7,TRUE),NA())</f>
        <v>Vastaus</v>
      </c>
      <c r="H36" s="905" t="str">
        <f>IF(VLOOKUP("KM112",Languages!$A:$D,1,TRUE)="KM112",VLOOKUP("KM112",Languages!$A:$D,Summary!$C$7,TRUE),NA())</f>
        <v>Kommentit</v>
      </c>
      <c r="I36" s="905" t="str">
        <f>IF(VLOOKUP("KM113",Languages!$A:$D,1,TRUE)="KM113",VLOOKUP("KM113",Languages!$A:$D,Summary!$C$7,TRUE),NA())</f>
        <v>Sisäinen viittaus</v>
      </c>
      <c r="J36" s="905" t="str">
        <f>IF(VLOOKUP("KM114",Languages!$A:$D,1,TRUE)="KM114",VLOOKUP("KM114",Languages!$A:$D,Summary!$C$7,TRUE),NA())</f>
        <v>Ulkoinen viittaus</v>
      </c>
      <c r="K36" s="905" t="str">
        <f>IF(VLOOKUP("KM115",Languages!$A:$D,1,TRUE)="KM115",VLOOKUP("KM115",Languages!$A:$D,Summary!$C$7,TRUE),NA())</f>
        <v>Kehityskohde</v>
      </c>
      <c r="L36" s="283"/>
      <c r="M36" s="284"/>
      <c r="N36" s="279"/>
      <c r="O36" s="463" t="str">
        <f>IF(VLOOKUP("GEN-ANSWER",Languages!$A:$D,1,TRUE)="GEN-ANSWER",VLOOKUP("GEN-ANSWER",Languages!$A:$D,Summary!$C$7,TRUE),NA())</f>
        <v>Vastaus</v>
      </c>
      <c r="P36" s="463" t="str">
        <f>IF(VLOOKUP("KM112",Languages!$A:$D,1,TRUE)="KM112",VLOOKUP("KM112",Languages!$A:$D,Summary!$C$7,TRUE),NA())</f>
        <v>Kommentit</v>
      </c>
      <c r="Q36" s="463" t="str">
        <f>IF(VLOOKUP("KM113",Languages!$A:$D,1,TRUE)="KM113",VLOOKUP("KM113",Languages!$A:$D,Summary!$C$7,TRUE),NA())</f>
        <v>Sisäinen viittaus</v>
      </c>
      <c r="R36" s="463" t="str">
        <f>IF(VLOOKUP("KM114",Languages!$A:$D,1,TRUE)="KM114",VLOOKUP("KM114",Languages!$A:$D,Summary!$C$7,TRUE),NA())</f>
        <v>Ulkoinen viittaus</v>
      </c>
      <c r="S36" s="463" t="str">
        <f>IF(VLOOKUP("KM115",Languages!$A:$D,1,TRUE)="KM115",VLOOKUP("KM115",Languages!$A:$D,Summary!$C$7,TRUE),NA())</f>
        <v>Kehityskohde</v>
      </c>
      <c r="T36" s="283"/>
      <c r="U36" s="284"/>
    </row>
    <row r="37" spans="1:21" s="296" customFormat="1" ht="45" customHeight="1" x14ac:dyDescent="0.2">
      <c r="A37" s="305"/>
      <c r="B37" s="1199"/>
      <c r="C37" s="1016">
        <v>1</v>
      </c>
      <c r="D37" s="395" t="s">
        <v>17</v>
      </c>
      <c r="E37" s="467" t="str">
        <f>IF(VLOOKUP(CONCATENATE($C$3,"-",$D37),Languages!$A:$D,1,TRUE)=CONCATENATE($C$3,"-",$D37),VLOOKUP(CONCATENATE($C$3,"-",$D37),Languages!$A:$D,Summary!$C$7,TRUE),NA())</f>
        <v>Henkilöstön kyberturvallisuustietoisuutta kohotetaan erilaisin toimin. Tasolla 1 tämän ei tarvitse olla systemaattista ja säännöllistä.</v>
      </c>
      <c r="F37" s="386">
        <f t="shared" ref="F37:F43" si="1">IFERROR(INT(LEFT($G37,1)),0)</f>
        <v>0</v>
      </c>
      <c r="G37" s="445" t="s">
        <v>2542</v>
      </c>
      <c r="H37" s="446"/>
      <c r="I37" s="446"/>
      <c r="J37" s="446"/>
      <c r="K37" s="447"/>
      <c r="L37" s="154"/>
      <c r="M37" s="252"/>
      <c r="N37" s="149"/>
      <c r="O37" s="889" t="str">
        <f>VLOOKUP(VLOOKUP($C$3&amp;"-"&amp;$D37,Import!$C:$D,2,FALSE),Parameters!$C$18:$F$22,Summary!$C$7,FALSE)</f>
        <v xml:space="preserve">0 - Vastaus puuttuu </v>
      </c>
      <c r="P37" s="931" t="str">
        <f>IF(VLOOKUP($C$3&amp;"-"&amp;$D37,Import!$C:$H,3,FALSE)=0,"",VLOOKUP($C$3&amp;"-"&amp;$D37,Import!$C:$H,3,FALSE))</f>
        <v/>
      </c>
      <c r="Q37" s="931" t="str">
        <f>IF(VLOOKUP($C$3&amp;"-"&amp;$D37,Import!$C:$H,4,FALSE)=0,"",VLOOKUP($C$3&amp;"-"&amp;$D37,Import!$C:$H,4,FALSE))</f>
        <v/>
      </c>
      <c r="R37" s="931" t="str">
        <f>IF(VLOOKUP($C$3&amp;"-"&amp;$D37,Import!$C:$H,5,FALSE)=0,"",VLOOKUP($C$3&amp;"-"&amp;$D37,Import!$C:$H,5,FALSE))</f>
        <v/>
      </c>
      <c r="S37" s="932" t="str">
        <f>IF(VLOOKUP($C$3&amp;"-"&amp;$D37,Import!$C:$H,6,FALSE)=0,"",VLOOKUP($C$3&amp;"-"&amp;$D37,Import!$C:$H,6,FALSE))</f>
        <v/>
      </c>
      <c r="T37" s="154"/>
      <c r="U37" s="252"/>
    </row>
    <row r="38" spans="1:21" s="296" customFormat="1" ht="60" customHeight="1" x14ac:dyDescent="0.2">
      <c r="A38" s="305"/>
      <c r="B38" s="1199"/>
      <c r="C38" s="1217">
        <v>2</v>
      </c>
      <c r="D38" s="396" t="s">
        <v>18</v>
      </c>
      <c r="E38" s="474" t="str">
        <f>IF(VLOOKUP(CONCATENATE($C$3,"-",$D38),Languages!$A:$D,1,TRUE)=CONCATENATE($C$3,"-",$D38),VLOOKUP(CONCATENATE($C$3,"-",$D38),Languages!$A:$D,Summary!$C$7,TRUE),NA())</f>
        <v>Kyberturvallisuustietoisuudelle on asetettu tavoitteet, joita ylläpidetään ja seurataan.</v>
      </c>
      <c r="F38" s="393">
        <f t="shared" si="1"/>
        <v>0</v>
      </c>
      <c r="G38" s="449" t="s">
        <v>2542</v>
      </c>
      <c r="H38" s="444"/>
      <c r="I38" s="444"/>
      <c r="J38" s="444"/>
      <c r="K38" s="453"/>
      <c r="L38" s="154"/>
      <c r="M38" s="252"/>
      <c r="N38" s="149"/>
      <c r="O38" s="897" t="str">
        <f>VLOOKUP(VLOOKUP($C$3&amp;"-"&amp;$D38,Import!$C:$D,2,FALSE),Parameters!$C$18:$F$22,Summary!$C$7,FALSE)</f>
        <v xml:space="preserve">0 - Vastaus puuttuu </v>
      </c>
      <c r="P38" s="923" t="str">
        <f>IF(VLOOKUP($C$3&amp;"-"&amp;$D38,Import!$C:$H,3,FALSE)=0,"",VLOOKUP($C$3&amp;"-"&amp;$D38,Import!$C:$H,3,FALSE))</f>
        <v/>
      </c>
      <c r="Q38" s="923" t="str">
        <f>IF(VLOOKUP($C$3&amp;"-"&amp;$D38,Import!$C:$H,4,FALSE)=0,"",VLOOKUP($C$3&amp;"-"&amp;$D38,Import!$C:$H,4,FALSE))</f>
        <v/>
      </c>
      <c r="R38" s="923" t="str">
        <f>IF(VLOOKUP($C$3&amp;"-"&amp;$D38,Import!$C:$H,5,FALSE)=0,"",VLOOKUP($C$3&amp;"-"&amp;$D38,Import!$C:$H,5,FALSE))</f>
        <v/>
      </c>
      <c r="S38" s="924" t="str">
        <f>IF(VLOOKUP($C$3&amp;"-"&amp;$D38,Import!$C:$H,6,FALSE)=0,"",VLOOKUP($C$3&amp;"-"&amp;$D38,Import!$C:$H,6,FALSE))</f>
        <v/>
      </c>
      <c r="T38" s="154"/>
      <c r="U38" s="252"/>
    </row>
    <row r="39" spans="1:21" s="296" customFormat="1" ht="45" customHeight="1" x14ac:dyDescent="0.2">
      <c r="A39" s="305"/>
      <c r="B39" s="297"/>
      <c r="C39" s="1218"/>
      <c r="D39" s="395" t="s">
        <v>19</v>
      </c>
      <c r="E39" s="467" t="str">
        <f>IF(VLOOKUP(CONCATENATE($C$3,"-",$D39),Languages!$A:$D,1,TRUE)=CONCATENATE($C$3,"-",$D39),VLOOKUP(CONCATENATE($C$3,"-",$D39),Languages!$A:$D,Summary!$C$7,TRUE),NA())</f>
        <v>Kyberturvallisuustietoisuuden tavoitteet ovat linjassa organisaation määrittämän uhkaprofiilin kanssa [kts. THREAT-2e].</v>
      </c>
      <c r="F39" s="386">
        <f t="shared" si="1"/>
        <v>0</v>
      </c>
      <c r="G39" s="445" t="s">
        <v>2542</v>
      </c>
      <c r="H39" s="442"/>
      <c r="I39" s="442"/>
      <c r="J39" s="442"/>
      <c r="K39" s="451"/>
      <c r="L39" s="154"/>
      <c r="M39" s="252"/>
      <c r="N39" s="149"/>
      <c r="O39" s="889" t="str">
        <f>VLOOKUP(VLOOKUP($C$3&amp;"-"&amp;$D39,Import!$C:$D,2,FALSE),Parameters!$C$18:$F$22,Summary!$C$7,FALSE)</f>
        <v xml:space="preserve">0 - Vastaus puuttuu </v>
      </c>
      <c r="P39" s="921" t="str">
        <f>IF(VLOOKUP($C$3&amp;"-"&amp;$D39,Import!$C:$H,3,FALSE)=0,"",VLOOKUP($C$3&amp;"-"&amp;$D39,Import!$C:$H,3,FALSE))</f>
        <v/>
      </c>
      <c r="Q39" s="921" t="str">
        <f>IF(VLOOKUP($C$3&amp;"-"&amp;$D39,Import!$C:$H,4,FALSE)=0,"",VLOOKUP($C$3&amp;"-"&amp;$D39,Import!$C:$H,4,FALSE))</f>
        <v/>
      </c>
      <c r="R39" s="921" t="str">
        <f>IF(VLOOKUP($C$3&amp;"-"&amp;$D39,Import!$C:$H,5,FALSE)=0,"",VLOOKUP($C$3&amp;"-"&amp;$D39,Import!$C:$H,5,FALSE))</f>
        <v/>
      </c>
      <c r="S39" s="922" t="str">
        <f>IF(VLOOKUP($C$3&amp;"-"&amp;$D39,Import!$C:$H,6,FALSE)=0,"",VLOOKUP($C$3&amp;"-"&amp;$D39,Import!$C:$H,6,FALSE))</f>
        <v/>
      </c>
      <c r="T39" s="154"/>
      <c r="U39" s="252"/>
    </row>
    <row r="40" spans="1:21" s="296" customFormat="1" ht="45" customHeight="1" x14ac:dyDescent="0.2">
      <c r="A40" s="305"/>
      <c r="B40" s="297"/>
      <c r="C40" s="1218"/>
      <c r="D40" s="396" t="s">
        <v>20</v>
      </c>
      <c r="E40" s="474" t="str">
        <f>IF(VLOOKUP(CONCATENATE($C$3,"-",$D40),Languages!$A:$D,1,TRUE)=CONCATENATE($C$3,"-",$D40),VLOOKUP(CONCATENATE($C$3,"-",$D40),Languages!$A:$D,Summary!$C$7,TRUE),NA())</f>
        <v>Kyberturvallisuustietoisuutta parantava toiminta on säännöllistä.</v>
      </c>
      <c r="F40" s="393">
        <f t="shared" si="1"/>
        <v>0</v>
      </c>
      <c r="G40" s="449" t="s">
        <v>2542</v>
      </c>
      <c r="H40" s="444"/>
      <c r="I40" s="444"/>
      <c r="J40" s="444"/>
      <c r="K40" s="453"/>
      <c r="L40" s="154"/>
      <c r="M40" s="252"/>
      <c r="N40" s="149"/>
      <c r="O40" s="897" t="str">
        <f>VLOOKUP(VLOOKUP($C$3&amp;"-"&amp;$D40,Import!$C:$D,2,FALSE),Parameters!$C$18:$F$22,Summary!$C$7,FALSE)</f>
        <v xml:space="preserve">0 - Vastaus puuttuu </v>
      </c>
      <c r="P40" s="923" t="str">
        <f>IF(VLOOKUP($C$3&amp;"-"&amp;$D40,Import!$C:$H,3,FALSE)=0,"",VLOOKUP($C$3&amp;"-"&amp;$D40,Import!$C:$H,3,FALSE))</f>
        <v/>
      </c>
      <c r="Q40" s="923" t="str">
        <f>IF(VLOOKUP($C$3&amp;"-"&amp;$D40,Import!$C:$H,4,FALSE)=0,"",VLOOKUP($C$3&amp;"-"&amp;$D40,Import!$C:$H,4,FALSE))</f>
        <v/>
      </c>
      <c r="R40" s="923" t="str">
        <f>IF(VLOOKUP($C$3&amp;"-"&amp;$D40,Import!$C:$H,5,FALSE)=0,"",VLOOKUP($C$3&amp;"-"&amp;$D40,Import!$C:$H,5,FALSE))</f>
        <v/>
      </c>
      <c r="S40" s="924" t="str">
        <f>IF(VLOOKUP($C$3&amp;"-"&amp;$D40,Import!$C:$H,6,FALSE)=0,"",VLOOKUP($C$3&amp;"-"&amp;$D40,Import!$C:$H,6,FALSE))</f>
        <v/>
      </c>
      <c r="T40" s="154"/>
      <c r="U40" s="252"/>
    </row>
    <row r="41" spans="1:21" s="296" customFormat="1" ht="34.950000000000003" customHeight="1" x14ac:dyDescent="0.2">
      <c r="A41" s="305"/>
      <c r="B41" s="297"/>
      <c r="C41" s="1209">
        <v>3</v>
      </c>
      <c r="D41" s="395" t="s">
        <v>21</v>
      </c>
      <c r="E41" s="467" t="str">
        <f>IF(VLOOKUP(CONCATENATE($C$3,"-",$D41),Languages!$A:$D,1,TRUE)=CONCATENATE($C$3,"-",$D41),VLOOKUP(CONCATENATE($C$3,"-",$D41),Languages!$A:$D,Summary!$C$7,TRUE),NA())</f>
        <v>Kyberturvallisuustietoisuutta edistävä toiminta on sisällytetty toimenkuvauksiin.</v>
      </c>
      <c r="F41" s="386">
        <f t="shared" si="1"/>
        <v>0</v>
      </c>
      <c r="G41" s="445" t="s">
        <v>2542</v>
      </c>
      <c r="H41" s="442"/>
      <c r="I41" s="442"/>
      <c r="J41" s="442"/>
      <c r="K41" s="451"/>
      <c r="L41" s="154"/>
      <c r="M41" s="252"/>
      <c r="N41" s="149"/>
      <c r="O41" s="889" t="str">
        <f>VLOOKUP(VLOOKUP($C$3&amp;"-"&amp;$D41,Import!$C:$D,2,FALSE),Parameters!$C$18:$F$22,Summary!$C$7,FALSE)</f>
        <v xml:space="preserve">0 - Vastaus puuttuu </v>
      </c>
      <c r="P41" s="921" t="str">
        <f>IF(VLOOKUP($C$3&amp;"-"&amp;$D41,Import!$C:$H,3,FALSE)=0,"",VLOOKUP($C$3&amp;"-"&amp;$D41,Import!$C:$H,3,FALSE))</f>
        <v/>
      </c>
      <c r="Q41" s="921" t="str">
        <f>IF(VLOOKUP($C$3&amp;"-"&amp;$D41,Import!$C:$H,4,FALSE)=0,"",VLOOKUP($C$3&amp;"-"&amp;$D41,Import!$C:$H,4,FALSE))</f>
        <v/>
      </c>
      <c r="R41" s="921" t="str">
        <f>IF(VLOOKUP($C$3&amp;"-"&amp;$D41,Import!$C:$H,5,FALSE)=0,"",VLOOKUP($C$3&amp;"-"&amp;$D41,Import!$C:$H,5,FALSE))</f>
        <v/>
      </c>
      <c r="S41" s="922" t="str">
        <f>IF(VLOOKUP($C$3&amp;"-"&amp;$D41,Import!$C:$H,6,FALSE)=0,"",VLOOKUP($C$3&amp;"-"&amp;$D41,Import!$C:$H,6,FALSE))</f>
        <v/>
      </c>
      <c r="T41" s="154"/>
      <c r="U41" s="252"/>
    </row>
    <row r="42" spans="1:21" s="296" customFormat="1" ht="34.950000000000003" customHeight="1" x14ac:dyDescent="0.2">
      <c r="A42" s="305"/>
      <c r="B42" s="1013"/>
      <c r="C42" s="1210"/>
      <c r="D42" s="1020" t="s">
        <v>103</v>
      </c>
      <c r="E42" s="474" t="str">
        <f>IF(VLOOKUP(CONCATENATE($C$3,"-",$D42),Languages!$A:$D,1,TRUE)=CONCATENATE($C$3,"-",$D42),VLOOKUP(CONCATENATE($C$3,"-",$D42),Languages!$A:$D,Summary!$C$7,TRUE),NA())</f>
        <v>Kyberturvallisuustietoisuuden kohottamisen toimenpiteet ovat linjassa organisaation ennalta määriteltyjen toimintatilojen kanssa [kts. SITUATION-3g].</v>
      </c>
      <c r="F42" s="386">
        <f t="shared" si="1"/>
        <v>0</v>
      </c>
      <c r="G42" s="1021" t="s">
        <v>2542</v>
      </c>
      <c r="H42" s="1022"/>
      <c r="I42" s="1022"/>
      <c r="J42" s="1022"/>
      <c r="K42" s="1023"/>
      <c r="L42" s="154"/>
      <c r="M42" s="252"/>
      <c r="N42" s="149"/>
      <c r="O42" s="889" t="str">
        <f>VLOOKUP(VLOOKUP($C$3&amp;"-"&amp;$D42,Import!$C:$D,2,FALSE),Parameters!$C$18:$F$22,Summary!$C$7,FALSE)</f>
        <v xml:space="preserve">0 - Vastaus puuttuu </v>
      </c>
      <c r="P42" s="1024"/>
      <c r="Q42" s="1024"/>
      <c r="R42" s="1024"/>
      <c r="S42" s="1025"/>
      <c r="T42" s="154"/>
      <c r="U42" s="252"/>
    </row>
    <row r="43" spans="1:21" s="296" customFormat="1" ht="43.95" customHeight="1" x14ac:dyDescent="0.2">
      <c r="A43" s="305"/>
      <c r="B43" s="297"/>
      <c r="C43" s="1211"/>
      <c r="D43" s="396" t="s">
        <v>165</v>
      </c>
      <c r="E43" s="474" t="str">
        <f>IF(VLOOKUP(CONCATENATE($C$3,"-",$D43),Languages!$A:$D,1,TRUE)=CONCATENATE($C$3,"-",$D43),VLOOKUP(CONCATENATE($C$3,"-",$D43),Languages!$A:$D,Summary!$C$7,TRUE),NA())</f>
        <v>Kyberturvallisuustietoisuutta parantavien toimenpiteiden tehokkuutta arvioidaan säännöllisesti ja tiettyjen muutosten yhteydessä kuten järjestelmämuutokset, ulkoiset tapahtumat. Toimintaa kehitetään tarvittaessa.</v>
      </c>
      <c r="F43" s="393">
        <f t="shared" si="1"/>
        <v>0</v>
      </c>
      <c r="G43" s="449" t="s">
        <v>2542</v>
      </c>
      <c r="H43" s="444"/>
      <c r="I43" s="444"/>
      <c r="J43" s="444"/>
      <c r="K43" s="453"/>
      <c r="L43" s="154"/>
      <c r="M43" s="252"/>
      <c r="N43" s="149"/>
      <c r="O43" s="897" t="str">
        <f>VLOOKUP(VLOOKUP($C$3&amp;"-"&amp;$D43,Import!$C:$D,2,FALSE),Parameters!$C$18:$F$22,Summary!$C$7,FALSE)</f>
        <v xml:space="preserve">0 - Vastaus puuttuu </v>
      </c>
      <c r="P43" s="923" t="str">
        <f>IF(VLOOKUP($C$3&amp;"-"&amp;$D43,Import!$C:$H,3,FALSE)=0,"",VLOOKUP($C$3&amp;"-"&amp;$D43,Import!$C:$H,3,FALSE))</f>
        <v/>
      </c>
      <c r="Q43" s="923" t="str">
        <f>IF(VLOOKUP($C$3&amp;"-"&amp;$D43,Import!$C:$H,4,FALSE)=0,"",VLOOKUP($C$3&amp;"-"&amp;$D43,Import!$C:$H,4,FALSE))</f>
        <v/>
      </c>
      <c r="R43" s="923" t="str">
        <f>IF(VLOOKUP($C$3&amp;"-"&amp;$D43,Import!$C:$H,5,FALSE)=0,"",VLOOKUP($C$3&amp;"-"&amp;$D43,Import!$C:$H,5,FALSE))</f>
        <v/>
      </c>
      <c r="S43" s="924" t="str">
        <f>IF(VLOOKUP($C$3&amp;"-"&amp;$D43,Import!$C:$H,6,FALSE)=0,"",VLOOKUP($C$3&amp;"-"&amp;$D43,Import!$C:$H,6,FALSE))</f>
        <v/>
      </c>
      <c r="T43" s="154"/>
      <c r="U43" s="252"/>
    </row>
    <row r="44" spans="1:21" s="177" customFormat="1" ht="30" customHeight="1" x14ac:dyDescent="0.25">
      <c r="A44" s="166"/>
      <c r="B44" s="269"/>
      <c r="C44" s="170">
        <v>3</v>
      </c>
      <c r="D44" s="170" t="str">
        <f>IF(VLOOKUP(CONCATENATE($C$3,"-",C44),Languages!$A:$D,1,TRUE)=CONCATENATE($C$3,"-",C44),VLOOKUP(CONCATENATE($C$3,"-",C44),Languages!$A:$D,Summary!$C$7,TRUE),NA())</f>
        <v>Henkilöstöhallinnon prosessit</v>
      </c>
      <c r="E44" s="170"/>
      <c r="F44" s="292"/>
      <c r="G44" s="907"/>
      <c r="H44" s="929"/>
      <c r="I44" s="929"/>
      <c r="J44" s="929"/>
      <c r="K44" s="929"/>
      <c r="L44" s="154"/>
      <c r="M44" s="252"/>
      <c r="N44" s="149"/>
      <c r="O44" s="292"/>
      <c r="P44" s="293"/>
      <c r="Q44" s="293"/>
      <c r="R44" s="293"/>
      <c r="S44" s="293"/>
      <c r="T44" s="154"/>
      <c r="U44" s="252"/>
    </row>
    <row r="45" spans="1:21" s="285" customFormat="1" ht="19.95" customHeight="1" x14ac:dyDescent="0.2">
      <c r="A45" s="304"/>
      <c r="B45" s="279"/>
      <c r="C45" s="280" t="str">
        <f>IF(VLOOKUP("GEN-LEVEL",Languages!$A:$D,1,TRUE)="GEN-LEVEL",VLOOKUP("GEN-LEVEL",Languages!$A:$D,Summary!$C$7,TRUE),NA())</f>
        <v>Taso</v>
      </c>
      <c r="D45" s="280"/>
      <c r="E45" s="281" t="str">
        <f>IF(VLOOKUP("GEN-PRACTICE",Languages!$A:$D,1,TRUE)="GEN-PRACTICE",VLOOKUP("GEN-PRACTICE",Languages!$A:$D,Summary!$C$7,TRUE),NA())</f>
        <v>Käytäntö</v>
      </c>
      <c r="F45" s="282"/>
      <c r="G45" s="904" t="str">
        <f>IF(VLOOKUP("GEN-ANSWER",Languages!$A:$D,1,TRUE)="GEN-ANSWER",VLOOKUP("GEN-ANSWER",Languages!$A:$D,Summary!$C$7,TRUE),NA())</f>
        <v>Vastaus</v>
      </c>
      <c r="H45" s="905" t="str">
        <f>IF(VLOOKUP("KM112",Languages!$A:$D,1,TRUE)="KM112",VLOOKUP("KM112",Languages!$A:$D,Summary!$C$7,TRUE),NA())</f>
        <v>Kommentit</v>
      </c>
      <c r="I45" s="905" t="str">
        <f>IF(VLOOKUP("KM113",Languages!$A:$D,1,TRUE)="KM113",VLOOKUP("KM113",Languages!$A:$D,Summary!$C$7,TRUE),NA())</f>
        <v>Sisäinen viittaus</v>
      </c>
      <c r="J45" s="905" t="str">
        <f>IF(VLOOKUP("KM114",Languages!$A:$D,1,TRUE)="KM114",VLOOKUP("KM114",Languages!$A:$D,Summary!$C$7,TRUE),NA())</f>
        <v>Ulkoinen viittaus</v>
      </c>
      <c r="K45" s="905" t="str">
        <f>IF(VLOOKUP("KM115",Languages!$A:$D,1,TRUE)="KM115",VLOOKUP("KM115",Languages!$A:$D,Summary!$C$7,TRUE),NA())</f>
        <v>Kehityskohde</v>
      </c>
      <c r="L45" s="283"/>
      <c r="M45" s="284"/>
      <c r="N45" s="279"/>
      <c r="O45" s="463" t="str">
        <f>IF(VLOOKUP("GEN-ANSWER",Languages!$A:$D,1,TRUE)="GEN-ANSWER",VLOOKUP("GEN-ANSWER",Languages!$A:$D,Summary!$C$7,TRUE),NA())</f>
        <v>Vastaus</v>
      </c>
      <c r="P45" s="463" t="str">
        <f>IF(VLOOKUP("KM112",Languages!$A:$D,1,TRUE)="KM112",VLOOKUP("KM112",Languages!$A:$D,Summary!$C$7,TRUE),NA())</f>
        <v>Kommentit</v>
      </c>
      <c r="Q45" s="463" t="str">
        <f>IF(VLOOKUP("KM113",Languages!$A:$D,1,TRUE)="KM113",VLOOKUP("KM113",Languages!$A:$D,Summary!$C$7,TRUE),NA())</f>
        <v>Sisäinen viittaus</v>
      </c>
      <c r="R45" s="463" t="str">
        <f>IF(VLOOKUP("KM114",Languages!$A:$D,1,TRUE)="KM114",VLOOKUP("KM114",Languages!$A:$D,Summary!$C$7,TRUE),NA())</f>
        <v>Ulkoinen viittaus</v>
      </c>
      <c r="S45" s="463" t="str">
        <f>IF(VLOOKUP("KM115",Languages!$A:$D,1,TRUE)="KM115",VLOOKUP("KM115",Languages!$A:$D,Summary!$C$7,TRUE),NA())</f>
        <v>Kehityskohde</v>
      </c>
      <c r="T45" s="283"/>
      <c r="U45" s="284"/>
    </row>
    <row r="46" spans="1:21" s="296" customFormat="1" ht="45" customHeight="1" x14ac:dyDescent="0.2">
      <c r="A46" s="305"/>
      <c r="B46" s="297"/>
      <c r="C46" s="1214">
        <v>1</v>
      </c>
      <c r="D46" s="395" t="s">
        <v>22</v>
      </c>
      <c r="E46" s="467" t="str">
        <f>IF(VLOOKUP(CONCATENATE($C$3,"-",$D46),Languages!$A:$D,1,TRUE)=CONCATENATE($C$3,"-",$D46),VLOOKUP(CONCATENATE($C$3,"-",$D46),Languages!$A:$D,Summary!$C$7,TRUE),NA())</f>
        <v>Toiminnon kyberturvallisuuteen liittyvät vastuut on tunnistettu. Tasolla 1 tämän ei tarvitse olla systemaattista ja säännöllistä.</v>
      </c>
      <c r="F46" s="386">
        <f t="shared" ref="F46:F51" si="2">IFERROR(INT(LEFT($G46,1)),0)</f>
        <v>0</v>
      </c>
      <c r="G46" s="445" t="s">
        <v>2542</v>
      </c>
      <c r="H46" s="442"/>
      <c r="I46" s="442"/>
      <c r="J46" s="442"/>
      <c r="K46" s="451"/>
      <c r="L46" s="154"/>
      <c r="M46" s="252"/>
      <c r="N46" s="149"/>
      <c r="O46" s="889" t="str">
        <f>VLOOKUP(VLOOKUP($C$3&amp;"-"&amp;$D46,Import!$C:$D,2,FALSE),Parameters!$C$18:$F$22,Summary!$C$7,FALSE)</f>
        <v xml:space="preserve">0 - Vastaus puuttuu </v>
      </c>
      <c r="P46" s="921" t="str">
        <f>IF(VLOOKUP($C$3&amp;"-"&amp;$D46,Import!$C:$H,3,FALSE)=0,"",VLOOKUP($C$3&amp;"-"&amp;$D46,Import!$C:$H,3,FALSE))</f>
        <v/>
      </c>
      <c r="Q46" s="921" t="str">
        <f>IF(VLOOKUP($C$3&amp;"-"&amp;$D46,Import!$C:$H,4,FALSE)=0,"",VLOOKUP($C$3&amp;"-"&amp;$D46,Import!$C:$H,4,FALSE))</f>
        <v/>
      </c>
      <c r="R46" s="921" t="str">
        <f>IF(VLOOKUP($C$3&amp;"-"&amp;$D46,Import!$C:$H,5,FALSE)=0,"",VLOOKUP($C$3&amp;"-"&amp;$D46,Import!$C:$H,5,FALSE))</f>
        <v/>
      </c>
      <c r="S46" s="922" t="str">
        <f>IF(VLOOKUP($C$3&amp;"-"&amp;$D46,Import!$C:$H,6,FALSE)=0,"",VLOOKUP($C$3&amp;"-"&amp;$D46,Import!$C:$H,6,FALSE))</f>
        <v/>
      </c>
      <c r="T46" s="154"/>
      <c r="U46" s="252"/>
    </row>
    <row r="47" spans="1:21" s="296" customFormat="1" ht="45" customHeight="1" x14ac:dyDescent="0.2">
      <c r="A47" s="305"/>
      <c r="B47" s="297"/>
      <c r="C47" s="1215"/>
      <c r="D47" s="396" t="s">
        <v>23</v>
      </c>
      <c r="E47" s="474" t="str">
        <f>IF(VLOOKUP(CONCATENATE($C$3,"-",$D47),Languages!$A:$D,1,TRUE)=CONCATENATE($C$3,"-",$D47),VLOOKUP(CONCATENATE($C$3,"-",$D47),Languages!$A:$D,Summary!$C$7,TRUE),NA())</f>
        <v>Kyberturvallisuuteen liittyvät vastuut on osoitettu nimetyille henkilöille. Tasolla 1 tämän ei tarvitse olla systemaattista ja säännöllistä.</v>
      </c>
      <c r="F47" s="393">
        <f t="shared" si="2"/>
        <v>0</v>
      </c>
      <c r="G47" s="449" t="s">
        <v>2542</v>
      </c>
      <c r="H47" s="444"/>
      <c r="I47" s="444"/>
      <c r="J47" s="444"/>
      <c r="K47" s="453"/>
      <c r="L47" s="154"/>
      <c r="M47" s="252"/>
      <c r="N47" s="149"/>
      <c r="O47" s="897" t="str">
        <f>VLOOKUP(VLOOKUP($C$3&amp;"-"&amp;$D47,Import!$C:$D,2,FALSE),Parameters!$C$18:$F$22,Summary!$C$7,FALSE)</f>
        <v xml:space="preserve">0 - Vastaus puuttuu </v>
      </c>
      <c r="P47" s="923" t="str">
        <f>IF(VLOOKUP($C$3&amp;"-"&amp;$D47,Import!$C:$H,3,FALSE)=0,"",VLOOKUP($C$3&amp;"-"&amp;$D47,Import!$C:$H,3,FALSE))</f>
        <v/>
      </c>
      <c r="Q47" s="923" t="str">
        <f>IF(VLOOKUP($C$3&amp;"-"&amp;$D47,Import!$C:$H,4,FALSE)=0,"",VLOOKUP($C$3&amp;"-"&amp;$D47,Import!$C:$H,4,FALSE))</f>
        <v/>
      </c>
      <c r="R47" s="923" t="str">
        <f>IF(VLOOKUP($C$3&amp;"-"&amp;$D47,Import!$C:$H,5,FALSE)=0,"",VLOOKUP($C$3&amp;"-"&amp;$D47,Import!$C:$H,5,FALSE))</f>
        <v/>
      </c>
      <c r="S47" s="924" t="str">
        <f>IF(VLOOKUP($C$3&amp;"-"&amp;$D47,Import!$C:$H,6,FALSE)=0,"",VLOOKUP($C$3&amp;"-"&amp;$D47,Import!$C:$H,6,FALSE))</f>
        <v/>
      </c>
      <c r="T47" s="154"/>
      <c r="U47" s="252"/>
    </row>
    <row r="48" spans="1:21" s="296" customFormat="1" ht="45" customHeight="1" x14ac:dyDescent="0.2">
      <c r="A48" s="305"/>
      <c r="B48" s="297"/>
      <c r="C48" s="1207">
        <v>2</v>
      </c>
      <c r="D48" s="395" t="s">
        <v>24</v>
      </c>
      <c r="E48" s="467" t="str">
        <f>IF(VLOOKUP(CONCATENATE($C$3,"-",$D48),Languages!$A:$D,1,TRUE)=CONCATENATE($C$3,"-",$D48),VLOOKUP(CONCATENATE($C$3,"-",$D48),Languages!$A:$D,Summary!$C$7,TRUE),NA())</f>
        <v>Kyberturvallisuuteen liittyvät vastuut on osoitettu nimetyille rooleille (mukaan lukien mahdolliset ulkoiset palveluntarjoajat).</v>
      </c>
      <c r="F48" s="386">
        <f t="shared" si="2"/>
        <v>0</v>
      </c>
      <c r="G48" s="445" t="s">
        <v>2542</v>
      </c>
      <c r="H48" s="442"/>
      <c r="I48" s="442"/>
      <c r="J48" s="442"/>
      <c r="K48" s="451"/>
      <c r="L48" s="154"/>
      <c r="M48" s="252"/>
      <c r="N48" s="149"/>
      <c r="O48" s="889" t="str">
        <f>VLOOKUP(VLOOKUP($C$3&amp;"-"&amp;$D48,Import!$C:$D,2,FALSE),Parameters!$C$18:$F$22,Summary!$C$7,FALSE)</f>
        <v xml:space="preserve">0 - Vastaus puuttuu </v>
      </c>
      <c r="P48" s="921" t="str">
        <f>IF(VLOOKUP($C$3&amp;"-"&amp;$D48,Import!$C:$H,3,FALSE)=0,"",VLOOKUP($C$3&amp;"-"&amp;$D48,Import!$C:$H,3,FALSE))</f>
        <v/>
      </c>
      <c r="Q48" s="921" t="str">
        <f>IF(VLOOKUP($C$3&amp;"-"&amp;$D48,Import!$C:$H,4,FALSE)=0,"",VLOOKUP($C$3&amp;"-"&amp;$D48,Import!$C:$H,4,FALSE))</f>
        <v/>
      </c>
      <c r="R48" s="921" t="str">
        <f>IF(VLOOKUP($C$3&amp;"-"&amp;$D48,Import!$C:$H,5,FALSE)=0,"",VLOOKUP($C$3&amp;"-"&amp;$D48,Import!$C:$H,5,FALSE))</f>
        <v/>
      </c>
      <c r="S48" s="922" t="str">
        <f>IF(VLOOKUP($C$3&amp;"-"&amp;$D48,Import!$C:$H,6,FALSE)=0,"",VLOOKUP($C$3&amp;"-"&amp;$D48,Import!$C:$H,6,FALSE))</f>
        <v/>
      </c>
      <c r="T48" s="154"/>
      <c r="U48" s="252"/>
    </row>
    <row r="49" spans="1:21" s="296" customFormat="1" ht="34.950000000000003" customHeight="1" x14ac:dyDescent="0.2">
      <c r="A49" s="305"/>
      <c r="B49" s="297"/>
      <c r="C49" s="1208"/>
      <c r="D49" s="396" t="s">
        <v>25</v>
      </c>
      <c r="E49" s="474" t="str">
        <f>IF(VLOOKUP(CONCATENATE($C$3,"-",$D49),Languages!$A:$D,1,TRUE)=CONCATENATE($C$3,"-",$D49),VLOOKUP(CONCATENATE($C$3,"-",$D49),Languages!$A:$D,Summary!$C$7,TRUE),NA())</f>
        <v>Kyberturvallisuuteen liittyvät vastuut on dokumentoitu.</v>
      </c>
      <c r="F49" s="393">
        <f t="shared" si="2"/>
        <v>0</v>
      </c>
      <c r="G49" s="449" t="s">
        <v>2542</v>
      </c>
      <c r="H49" s="444"/>
      <c r="I49" s="444"/>
      <c r="J49" s="444"/>
      <c r="K49" s="453"/>
      <c r="L49" s="154"/>
      <c r="M49" s="252"/>
      <c r="N49" s="149"/>
      <c r="O49" s="897" t="str">
        <f>VLOOKUP(VLOOKUP($C$3&amp;"-"&amp;$D49,Import!$C:$D,2,FALSE),Parameters!$C$18:$F$22,Summary!$C$7,FALSE)</f>
        <v xml:space="preserve">0 - Vastaus puuttuu </v>
      </c>
      <c r="P49" s="923" t="str">
        <f>IF(VLOOKUP($C$3&amp;"-"&amp;$D49,Import!$C:$H,3,FALSE)=0,"",VLOOKUP($C$3&amp;"-"&amp;$D49,Import!$C:$H,3,FALSE))</f>
        <v/>
      </c>
      <c r="Q49" s="923" t="str">
        <f>IF(VLOOKUP($C$3&amp;"-"&amp;$D49,Import!$C:$H,4,FALSE)=0,"",VLOOKUP($C$3&amp;"-"&amp;$D49,Import!$C:$H,4,FALSE))</f>
        <v/>
      </c>
      <c r="R49" s="923" t="str">
        <f>IF(VLOOKUP($C$3&amp;"-"&amp;$D49,Import!$C:$H,5,FALSE)=0,"",VLOOKUP($C$3&amp;"-"&amp;$D49,Import!$C:$H,5,FALSE))</f>
        <v/>
      </c>
      <c r="S49" s="924" t="str">
        <f>IF(VLOOKUP($C$3&amp;"-"&amp;$D49,Import!$C:$H,6,FALSE)=0,"",VLOOKUP($C$3&amp;"-"&amp;$D49,Import!$C:$H,6,FALSE))</f>
        <v/>
      </c>
      <c r="T49" s="154"/>
      <c r="U49" s="252"/>
    </row>
    <row r="50" spans="1:21" s="296" customFormat="1" ht="40.799999999999997" customHeight="1" x14ac:dyDescent="0.2">
      <c r="A50" s="305"/>
      <c r="B50" s="297"/>
      <c r="C50" s="1209">
        <v>3</v>
      </c>
      <c r="D50" s="1052" t="s">
        <v>26</v>
      </c>
      <c r="E50" s="1051" t="str">
        <f>IF(VLOOKUP(CONCATENATE($C$3,"-",$D50),Languages!$A:$D,1,TRUE)=CONCATENATE($C$3,"-",$D50),VLOOKUP(CONCATENATE($C$3,"-",$D50),Languages!$A:$D,Summary!$C$7,TRUE),NA())</f>
        <v>Kyberturvallisuuteen liittyvät vastuut ja työtehtävien vaatimukset tarkastetaan ja päivitetään aika ajoin ja määriteltyjen tilanteiden kuten järjestelmämuutosten yhteydessä tai organisaatiorakenteen muuttuessa.</v>
      </c>
      <c r="F50" s="1057">
        <f t="shared" si="2"/>
        <v>0</v>
      </c>
      <c r="G50" s="492" t="s">
        <v>2542</v>
      </c>
      <c r="H50" s="1053"/>
      <c r="I50" s="1053"/>
      <c r="J50" s="1053"/>
      <c r="K50" s="1054"/>
      <c r="L50" s="154"/>
      <c r="M50" s="252"/>
      <c r="N50" s="149"/>
      <c r="O50" s="946" t="str">
        <f>VLOOKUP(VLOOKUP($C$3&amp;"-"&amp;$D50,Import!$C:$D,2,FALSE),Parameters!$C$18:$F$22,Summary!$C$7,FALSE)</f>
        <v xml:space="preserve">0 - Vastaus puuttuu </v>
      </c>
      <c r="P50" s="1055" t="str">
        <f>IF(VLOOKUP($C$3&amp;"-"&amp;$D50,Import!$C:$H,3,FALSE)=0,"",VLOOKUP($C$3&amp;"-"&amp;$D50,Import!$C:$H,3,FALSE))</f>
        <v/>
      </c>
      <c r="Q50" s="1055" t="str">
        <f>IF(VLOOKUP($C$3&amp;"-"&amp;$D50,Import!$C:$H,4,FALSE)=0,"",VLOOKUP($C$3&amp;"-"&amp;$D50,Import!$C:$H,4,FALSE))</f>
        <v/>
      </c>
      <c r="R50" s="1055" t="str">
        <f>IF(VLOOKUP($C$3&amp;"-"&amp;$D50,Import!$C:$H,5,FALSE)=0,"",VLOOKUP($C$3&amp;"-"&amp;$D50,Import!$C:$H,5,FALSE))</f>
        <v/>
      </c>
      <c r="S50" s="1056" t="str">
        <f>IF(VLOOKUP($C$3&amp;"-"&amp;$D50,Import!$C:$H,6,FALSE)=0,"",VLOOKUP($C$3&amp;"-"&amp;$D50,Import!$C:$H,6,FALSE))</f>
        <v/>
      </c>
      <c r="T50" s="154"/>
      <c r="U50" s="252"/>
    </row>
    <row r="51" spans="1:21" s="296" customFormat="1" ht="45" customHeight="1" x14ac:dyDescent="0.2">
      <c r="A51" s="305"/>
      <c r="B51" s="297"/>
      <c r="C51" s="1211"/>
      <c r="D51" s="399" t="s">
        <v>27</v>
      </c>
      <c r="E51" s="466" t="str">
        <f>IF(VLOOKUP(CONCATENATE($C$3,"-",$D51),Languages!$A:$D,1,TRUE)=CONCATENATE($C$3,"-",$D51),VLOOKUP(CONCATENATE($C$3,"-",$D51),Languages!$A:$D,Summary!$C$7,TRUE),NA())</f>
        <v>Osoitettuja kyberturvallisuuden vastuita hallitaan siten, että varmistutaan niiden riittävyydestä ja riittävästä päällekkäisyydestä (mukaan lukien henkilöstönvaihdosten suunnittelu).</v>
      </c>
      <c r="F51" s="391">
        <f t="shared" si="2"/>
        <v>0</v>
      </c>
      <c r="G51" s="456" t="s">
        <v>2542</v>
      </c>
      <c r="H51" s="454"/>
      <c r="I51" s="454"/>
      <c r="J51" s="454"/>
      <c r="K51" s="455"/>
      <c r="L51" s="154"/>
      <c r="M51" s="252"/>
      <c r="N51" s="149"/>
      <c r="O51" s="886" t="str">
        <f>VLOOKUP(VLOOKUP($C$3&amp;"-"&amp;$D51,Import!$C:$D,2,FALSE),Parameters!$C$18:$F$22,Summary!$C$7,FALSE)</f>
        <v xml:space="preserve">0 - Vastaus puuttuu </v>
      </c>
      <c r="P51" s="925" t="str">
        <f>IF(VLOOKUP($C$3&amp;"-"&amp;$D51,Import!$C:$H,3,FALSE)=0,"",VLOOKUP($C$3&amp;"-"&amp;$D51,Import!$C:$H,3,FALSE))</f>
        <v/>
      </c>
      <c r="Q51" s="925" t="str">
        <f>IF(VLOOKUP($C$3&amp;"-"&amp;$D51,Import!$C:$H,4,FALSE)=0,"",VLOOKUP($C$3&amp;"-"&amp;$D51,Import!$C:$H,4,FALSE))</f>
        <v/>
      </c>
      <c r="R51" s="925" t="str">
        <f>IF(VLOOKUP($C$3&amp;"-"&amp;$D51,Import!$C:$H,5,FALSE)=0,"",VLOOKUP($C$3&amp;"-"&amp;$D51,Import!$C:$H,5,FALSE))</f>
        <v/>
      </c>
      <c r="S51" s="926" t="str">
        <f>IF(VLOOKUP($C$3&amp;"-"&amp;$D51,Import!$C:$H,6,FALSE)=0,"",VLOOKUP($C$3&amp;"-"&amp;$D51,Import!$C:$H,6,FALSE))</f>
        <v/>
      </c>
      <c r="T51" s="154"/>
      <c r="U51" s="252"/>
    </row>
    <row r="52" spans="1:21" s="177" customFormat="1" ht="30" customHeight="1" x14ac:dyDescent="0.25">
      <c r="A52" s="166"/>
      <c r="B52" s="269"/>
      <c r="C52" s="170">
        <v>4</v>
      </c>
      <c r="D52" s="170" t="str">
        <f>IF(VLOOKUP(CONCATENATE($C$3,"-",C52),Languages!$A:$D,1,TRUE)=CONCATENATE($C$3,"-",C52),VLOOKUP(CONCATENATE($C$3,"-",C52),Languages!$A:$D,Summary!$C$7,TRUE),NA())</f>
        <v>Koulutus ja kybertietoisuuden lisääminen</v>
      </c>
      <c r="E52" s="170"/>
      <c r="F52" s="292"/>
      <c r="G52" s="907"/>
      <c r="H52" s="929"/>
      <c r="I52" s="929"/>
      <c r="J52" s="929"/>
      <c r="K52" s="929"/>
      <c r="L52" s="154"/>
      <c r="M52" s="252"/>
      <c r="N52" s="149"/>
      <c r="O52" s="292"/>
      <c r="P52" s="293"/>
      <c r="Q52" s="293"/>
      <c r="R52" s="293"/>
      <c r="S52" s="293"/>
      <c r="T52" s="154"/>
      <c r="U52" s="252"/>
    </row>
    <row r="53" spans="1:21" s="285" customFormat="1" ht="19.95" customHeight="1" x14ac:dyDescent="0.2">
      <c r="A53" s="304"/>
      <c r="B53" s="279"/>
      <c r="C53" s="280" t="str">
        <f>IF(VLOOKUP("GEN-LEVEL",Languages!$A:$D,1,TRUE)="GEN-LEVEL",VLOOKUP("GEN-LEVEL",Languages!$A:$D,Summary!$C$7,TRUE),NA())</f>
        <v>Taso</v>
      </c>
      <c r="D53" s="280"/>
      <c r="E53" s="281" t="str">
        <f>IF(VLOOKUP("GEN-PRACTICE",Languages!$A:$D,1,TRUE)="GEN-PRACTICE",VLOOKUP("GEN-PRACTICE",Languages!$A:$D,Summary!$C$7,TRUE),NA())</f>
        <v>Käytäntö</v>
      </c>
      <c r="F53" s="282"/>
      <c r="G53" s="904" t="str">
        <f>IF(VLOOKUP("GEN-ANSWER",Languages!$A:$D,1,TRUE)="GEN-ANSWER",VLOOKUP("GEN-ANSWER",Languages!$A:$D,Summary!$C$7,TRUE),NA())</f>
        <v>Vastaus</v>
      </c>
      <c r="H53" s="905" t="str">
        <f>IF(VLOOKUP("KM112",Languages!$A:$D,1,TRUE)="KM112",VLOOKUP("KM112",Languages!$A:$D,Summary!$C$7,TRUE),NA())</f>
        <v>Kommentit</v>
      </c>
      <c r="I53" s="905" t="str">
        <f>IF(VLOOKUP("KM113",Languages!$A:$D,1,TRUE)="KM113",VLOOKUP("KM113",Languages!$A:$D,Summary!$C$7,TRUE),NA())</f>
        <v>Sisäinen viittaus</v>
      </c>
      <c r="J53" s="905" t="str">
        <f>IF(VLOOKUP("KM114",Languages!$A:$D,1,TRUE)="KM114",VLOOKUP("KM114",Languages!$A:$D,Summary!$C$7,TRUE),NA())</f>
        <v>Ulkoinen viittaus</v>
      </c>
      <c r="K53" s="905" t="str">
        <f>IF(VLOOKUP("KM115",Languages!$A:$D,1,TRUE)="KM115",VLOOKUP("KM115",Languages!$A:$D,Summary!$C$7,TRUE),NA())</f>
        <v>Kehityskohde</v>
      </c>
      <c r="L53" s="283"/>
      <c r="M53" s="284"/>
      <c r="N53" s="279"/>
      <c r="O53" s="463" t="str">
        <f>IF(VLOOKUP("GEN-ANSWER",Languages!$A:$D,1,TRUE)="GEN-ANSWER",VLOOKUP("GEN-ANSWER",Languages!$A:$D,Summary!$C$7,TRUE),NA())</f>
        <v>Vastaus</v>
      </c>
      <c r="P53" s="463" t="str">
        <f>IF(VLOOKUP("KM112",Languages!$A:$D,1,TRUE)="KM112",VLOOKUP("KM112",Languages!$A:$D,Summary!$C$7,TRUE),NA())</f>
        <v>Kommentit</v>
      </c>
      <c r="Q53" s="463" t="str">
        <f>IF(VLOOKUP("KM113",Languages!$A:$D,1,TRUE)="KM113",VLOOKUP("KM113",Languages!$A:$D,Summary!$C$7,TRUE),NA())</f>
        <v>Sisäinen viittaus</v>
      </c>
      <c r="R53" s="463" t="str">
        <f>IF(VLOOKUP("KM114",Languages!$A:$D,1,TRUE)="KM114",VLOOKUP("KM114",Languages!$A:$D,Summary!$C$7,TRUE),NA())</f>
        <v>Ulkoinen viittaus</v>
      </c>
      <c r="S53" s="463" t="str">
        <f>IF(VLOOKUP("KM115",Languages!$A:$D,1,TRUE)="KM115",VLOOKUP("KM115",Languages!$A:$D,Summary!$C$7,TRUE),NA())</f>
        <v>Kehityskohde</v>
      </c>
      <c r="T53" s="283"/>
      <c r="U53" s="284"/>
    </row>
    <row r="54" spans="1:21" s="296" customFormat="1" ht="42.6" customHeight="1" x14ac:dyDescent="0.2">
      <c r="A54" s="305"/>
      <c r="B54" s="297"/>
      <c r="C54" s="1214">
        <v>1</v>
      </c>
      <c r="D54" s="399" t="s">
        <v>117</v>
      </c>
      <c r="E54" s="466" t="str">
        <f>IF(VLOOKUP(CONCATENATE($C$3,"-",$D54),Languages!$A:$D,1,TRUE)=CONCATENATE($C$3,"-",$D54),VLOOKUP(CONCATENATE($C$3,"-",$D54),Languages!$A:$D,Summary!$C$7,TRUE),NA())</f>
        <v>Kyberturvallisuuskoulutusta on saatavana sellaisille työntekijöille, joille on osoitettu kyberturvallisuuteen liittyviä vastuita. Tasolla 1 tämän ei tarvitse olla systemaattista ja säännöllistä.</v>
      </c>
      <c r="F54" s="391">
        <f t="shared" ref="F54:F59" si="3">IFERROR(INT(LEFT($G54,1)),0)</f>
        <v>0</v>
      </c>
      <c r="G54" s="456" t="s">
        <v>2542</v>
      </c>
      <c r="H54" s="454"/>
      <c r="I54" s="454"/>
      <c r="J54" s="454"/>
      <c r="K54" s="455"/>
      <c r="L54" s="154"/>
      <c r="M54" s="252"/>
      <c r="N54" s="149"/>
      <c r="O54" s="886" t="str">
        <f>VLOOKUP(VLOOKUP($C$3&amp;"-"&amp;$D54,Import!$C:$D,2,FALSE),Parameters!$C$18:$F$22,Summary!$C$7,FALSE)</f>
        <v xml:space="preserve">0 - Vastaus puuttuu </v>
      </c>
      <c r="P54" s="925" t="str">
        <f>IF(VLOOKUP($C$3&amp;"-"&amp;$D54,Import!$C:$H,3,FALSE)=0,"",VLOOKUP($C$3&amp;"-"&amp;$D54,Import!$C:$H,3,FALSE))</f>
        <v/>
      </c>
      <c r="Q54" s="925" t="str">
        <f>IF(VLOOKUP($C$3&amp;"-"&amp;$D54,Import!$C:$H,4,FALSE)=0,"",VLOOKUP($C$3&amp;"-"&amp;$D54,Import!$C:$H,4,FALSE))</f>
        <v/>
      </c>
      <c r="R54" s="925" t="str">
        <f>IF(VLOOKUP($C$3&amp;"-"&amp;$D54,Import!$C:$H,5,FALSE)=0,"",VLOOKUP($C$3&amp;"-"&amp;$D54,Import!$C:$H,5,FALSE))</f>
        <v/>
      </c>
      <c r="S54" s="926" t="str">
        <f>IF(VLOOKUP($C$3&amp;"-"&amp;$D54,Import!$C:$H,6,FALSE)=0,"",VLOOKUP($C$3&amp;"-"&amp;$D54,Import!$C:$H,6,FALSE))</f>
        <v/>
      </c>
      <c r="T54" s="154"/>
      <c r="U54" s="252"/>
    </row>
    <row r="55" spans="1:21" s="296" customFormat="1" ht="34.950000000000003" customHeight="1" x14ac:dyDescent="0.2">
      <c r="A55" s="305"/>
      <c r="B55" s="297"/>
      <c r="C55" s="1215"/>
      <c r="D55" s="399" t="s">
        <v>120</v>
      </c>
      <c r="E55" s="466" t="str">
        <f>IF(VLOOKUP(CONCATENATE($C$3,"-",$D55),Languages!$A:$D,1,TRUE)=CONCATENATE($C$3,"-",$D55),VLOOKUP(CONCATENATE($C$3,"-",$D55),Languages!$A:$D,Summary!$C$7,TRUE),NA())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F55" s="391">
        <f t="shared" si="3"/>
        <v>0</v>
      </c>
      <c r="G55" s="456" t="s">
        <v>2542</v>
      </c>
      <c r="H55" s="454"/>
      <c r="I55" s="454"/>
      <c r="J55" s="454"/>
      <c r="K55" s="455"/>
      <c r="L55" s="154"/>
      <c r="M55" s="252"/>
      <c r="N55" s="149"/>
      <c r="O55" s="889" t="str">
        <f>VLOOKUP(VLOOKUP($C$3&amp;"-"&amp;$D55,Import!$C:$D,2,FALSE),Parameters!$C$18:$F$22,Summary!$C$7,FALSE)</f>
        <v xml:space="preserve">0 - Vastaus puuttuu </v>
      </c>
      <c r="P55" s="921" t="str">
        <f>IF(VLOOKUP($C$3&amp;"-"&amp;$D55,Import!$C:$H,3,FALSE)=0,"",VLOOKUP($C$3&amp;"-"&amp;$D55,Import!$C:$H,3,FALSE))</f>
        <v/>
      </c>
      <c r="Q55" s="921" t="str">
        <f>IF(VLOOKUP($C$3&amp;"-"&amp;$D55,Import!$C:$H,4,FALSE)=0,"",VLOOKUP($C$3&amp;"-"&amp;$D55,Import!$C:$H,4,FALSE))</f>
        <v/>
      </c>
      <c r="R55" s="921" t="str">
        <f>IF(VLOOKUP($C$3&amp;"-"&amp;$D55,Import!$C:$H,5,FALSE)=0,"",VLOOKUP($C$3&amp;"-"&amp;$D55,Import!$C:$H,5,FALSE))</f>
        <v/>
      </c>
      <c r="S55" s="922" t="str">
        <f>IF(VLOOKUP($C$3&amp;"-"&amp;$D55,Import!$C:$H,6,FALSE)=0,"",VLOOKUP($C$3&amp;"-"&amp;$D55,Import!$C:$H,6,FALSE))</f>
        <v/>
      </c>
      <c r="T55" s="154"/>
      <c r="U55" s="252"/>
    </row>
    <row r="56" spans="1:21" s="296" customFormat="1" ht="44.4" customHeight="1" x14ac:dyDescent="0.2">
      <c r="A56" s="305"/>
      <c r="B56" s="297"/>
      <c r="C56" s="1207">
        <v>2</v>
      </c>
      <c r="D56" s="399" t="s">
        <v>123</v>
      </c>
      <c r="E56" s="466" t="str">
        <f>IF(VLOOKUP(CONCATENATE($C$3,"-",$D56),Languages!$A:$D,1,TRUE)=CONCATENATE($C$3,"-",$D56),VLOOKUP(CONCATENATE($C$3,"-",$D56),Languages!$A:$D,Summary!$C$7,TRUE),NA())</f>
        <v xml:space="preserve">Tunnistettuihin kyberturvallisuuden osaamispuutteisiin (tiedot, taidot ja kyvyt, pätevyydet) puututaan kouluttamalla, rekrytoimalla ja vaihtuvuuden pienenemiseen tähtäävillä toimilla. </v>
      </c>
      <c r="F56" s="391">
        <f t="shared" si="3"/>
        <v>0</v>
      </c>
      <c r="G56" s="456" t="s">
        <v>2542</v>
      </c>
      <c r="H56" s="454"/>
      <c r="I56" s="454"/>
      <c r="J56" s="454"/>
      <c r="K56" s="455"/>
      <c r="L56" s="154"/>
      <c r="M56" s="252"/>
      <c r="N56" s="149"/>
      <c r="O56" s="897" t="str">
        <f>VLOOKUP(VLOOKUP($C$3&amp;"-"&amp;$D56,Import!$C:$D,2,FALSE),Parameters!$C$18:$F$22,Summary!$C$7,FALSE)</f>
        <v xml:space="preserve">0 - Vastaus puuttuu </v>
      </c>
      <c r="P56" s="923" t="str">
        <f>IF(VLOOKUP($C$3&amp;"-"&amp;$D56,Import!$C:$H,3,FALSE)=0,"",VLOOKUP($C$3&amp;"-"&amp;$D56,Import!$C:$H,3,FALSE))</f>
        <v/>
      </c>
      <c r="Q56" s="923" t="str">
        <f>IF(VLOOKUP($C$3&amp;"-"&amp;$D56,Import!$C:$H,4,FALSE)=0,"",VLOOKUP($C$3&amp;"-"&amp;$D56,Import!$C:$H,4,FALSE))</f>
        <v/>
      </c>
      <c r="R56" s="923" t="str">
        <f>IF(VLOOKUP($C$3&amp;"-"&amp;$D56,Import!$C:$H,5,FALSE)=0,"",VLOOKUP($C$3&amp;"-"&amp;$D56,Import!$C:$H,5,FALSE))</f>
        <v/>
      </c>
      <c r="S56" s="924" t="str">
        <f>IF(VLOOKUP($C$3&amp;"-"&amp;$D56,Import!$C:$H,6,FALSE)=0,"",VLOOKUP($C$3&amp;"-"&amp;$D56,Import!$C:$H,6,FALSE))</f>
        <v/>
      </c>
      <c r="T56" s="154"/>
      <c r="U56" s="252"/>
    </row>
    <row r="57" spans="1:21" s="296" customFormat="1" ht="45" customHeight="1" x14ac:dyDescent="0.2">
      <c r="A57" s="305"/>
      <c r="B57" s="297"/>
      <c r="C57" s="1208"/>
      <c r="D57" s="399" t="s">
        <v>126</v>
      </c>
      <c r="E57" s="466" t="str">
        <f>IF(VLOOKUP(CONCATENATE($C$3,"-",$D57),Languages!$A:$D,1,TRUE)=CONCATENATE($C$3,"-",$D57),VLOOKUP(CONCATENATE($C$3,"-",$D57),Languages!$A:$D,Summary!$C$7,TRUE),NA())</f>
        <v>Kyberturvallisuuskoulutus on edellytyksenä käyttö- tai pääsyoikeuksien myöntämiselle toiminnon kannalta tärkeisiin laitteisiin, ohjelmistoihin ja tietovarantoihin.</v>
      </c>
      <c r="F57" s="391">
        <f t="shared" si="3"/>
        <v>0</v>
      </c>
      <c r="G57" s="456" t="s">
        <v>2542</v>
      </c>
      <c r="H57" s="454"/>
      <c r="I57" s="454"/>
      <c r="J57" s="454"/>
      <c r="K57" s="455"/>
      <c r="L57" s="154"/>
      <c r="M57" s="252"/>
      <c r="N57" s="149"/>
      <c r="O57" s="889" t="str">
        <f>VLOOKUP(VLOOKUP($C$3&amp;"-"&amp;$D57,Import!$C:$D,2,FALSE),Parameters!$C$18:$F$22,Summary!$C$7,FALSE)</f>
        <v xml:space="preserve">0 - Vastaus puuttuu </v>
      </c>
      <c r="P57" s="921" t="str">
        <f>IF(VLOOKUP($C$3&amp;"-"&amp;$D57,Import!$C:$H,3,FALSE)=0,"",VLOOKUP($C$3&amp;"-"&amp;$D57,Import!$C:$H,3,FALSE))</f>
        <v/>
      </c>
      <c r="Q57" s="921" t="str">
        <f>IF(VLOOKUP($C$3&amp;"-"&amp;$D57,Import!$C:$H,4,FALSE)=0,"",VLOOKUP($C$3&amp;"-"&amp;$D57,Import!$C:$H,4,FALSE))</f>
        <v/>
      </c>
      <c r="R57" s="921" t="str">
        <f>IF(VLOOKUP($C$3&amp;"-"&amp;$D57,Import!$C:$H,5,FALSE)=0,"",VLOOKUP($C$3&amp;"-"&amp;$D57,Import!$C:$H,5,FALSE))</f>
        <v/>
      </c>
      <c r="S57" s="922" t="str">
        <f>IF(VLOOKUP($C$3&amp;"-"&amp;$D57,Import!$C:$H,6,FALSE)=0,"",VLOOKUP($C$3&amp;"-"&amp;$D57,Import!$C:$H,6,FALSE))</f>
        <v/>
      </c>
      <c r="T57" s="154"/>
      <c r="U57" s="252"/>
    </row>
    <row r="58" spans="1:21" s="296" customFormat="1" ht="45" customHeight="1" x14ac:dyDescent="0.2">
      <c r="A58" s="305"/>
      <c r="B58" s="1013"/>
      <c r="C58" s="1209">
        <v>3</v>
      </c>
      <c r="D58" s="1020" t="s">
        <v>129</v>
      </c>
      <c r="E58" s="1051" t="str">
        <f>IF(VLOOKUP(CONCATENATE($C$3,"-",$D58),Languages!$A:$D,1,TRUE)=CONCATENATE($C$3,"-",$D58),VLOOKUP(CONCATENATE($C$3,"-",$D58),Languages!$A:$D,Summary!$C$7,TRUE),NA())</f>
        <v>Koulutustoiminnan tehokkuutta arvioidaan aika ajoin ja koulutusta kehitetään tarpeen mukaan.</v>
      </c>
      <c r="F58" s="394">
        <f t="shared" si="3"/>
        <v>0</v>
      </c>
      <c r="G58" s="1021" t="s">
        <v>2542</v>
      </c>
      <c r="H58" s="1022"/>
      <c r="I58" s="1022"/>
      <c r="J58" s="1022"/>
      <c r="K58" s="1023"/>
      <c r="L58" s="154"/>
      <c r="M58" s="252"/>
      <c r="N58" s="149"/>
      <c r="O58" s="889" t="str">
        <f>VLOOKUP(VLOOKUP($C$3&amp;"-"&amp;$D58,Import!$C:$D,2,FALSE),Parameters!$C$18:$F$22,Summary!$C$7,FALSE)</f>
        <v xml:space="preserve">0 - Vastaus puuttuu </v>
      </c>
      <c r="P58" s="921" t="str">
        <f>IF(VLOOKUP($C$3&amp;"-"&amp;$D58,Import!$C:$H,3,FALSE)=0,"",VLOOKUP($C$3&amp;"-"&amp;$D58,Import!$C:$H,3,FALSE))</f>
        <v/>
      </c>
      <c r="Q58" s="921" t="str">
        <f>IF(VLOOKUP($C$3&amp;"-"&amp;$D58,Import!$C:$H,4,FALSE)=0,"",VLOOKUP($C$3&amp;"-"&amp;$D58,Import!$C:$H,4,FALSE))</f>
        <v/>
      </c>
      <c r="R58" s="921" t="str">
        <f>IF(VLOOKUP($C$3&amp;"-"&amp;$D58,Import!$C:$H,5,FALSE)=0,"",VLOOKUP($C$3&amp;"-"&amp;$D58,Import!$C:$H,5,FALSE))</f>
        <v/>
      </c>
      <c r="S58" s="922" t="str">
        <f>IF(VLOOKUP($C$3&amp;"-"&amp;$D58,Import!$C:$H,6,FALSE)=0,"",VLOOKUP($C$3&amp;"-"&amp;$D58,Import!$C:$H,6,FALSE))</f>
        <v/>
      </c>
      <c r="T58" s="154"/>
      <c r="U58" s="252"/>
    </row>
    <row r="59" spans="1:21" s="296" customFormat="1" ht="60" customHeight="1" x14ac:dyDescent="0.2">
      <c r="A59" s="305"/>
      <c r="B59" s="297"/>
      <c r="C59" s="1211"/>
      <c r="D59" s="396" t="s">
        <v>131</v>
      </c>
      <c r="E59" s="474" t="str">
        <f>IF(VLOOKUP(CONCATENATE($C$3,"-",$D59),Languages!$A:$D,1,TRUE)=CONCATENATE($C$3,"-",$D59),VLOOKUP(CONCATENATE($C$3,"-",$D59),Languages!$A:$D,Summary!$C$7,TRUE),NA())</f>
        <v>Koulutusohjelmat sisältävät jatkokoulutusta ja muita ammatillisia kehitysmahdollisuuksia henkilöstölle, jolla on merkittävisä kyberturvallisuusvastuita.</v>
      </c>
      <c r="F59" s="393">
        <f t="shared" si="3"/>
        <v>0</v>
      </c>
      <c r="G59" s="449" t="s">
        <v>2542</v>
      </c>
      <c r="H59" s="444"/>
      <c r="I59" s="444"/>
      <c r="J59" s="444"/>
      <c r="K59" s="453"/>
      <c r="L59" s="154"/>
      <c r="M59" s="252"/>
      <c r="N59" s="149"/>
      <c r="O59" s="897" t="str">
        <f>VLOOKUP(VLOOKUP($C$3&amp;"-"&amp;$D59,Import!$C:$D,2,FALSE),Parameters!$C$18:$F$22,Summary!$C$7,FALSE)</f>
        <v xml:space="preserve">0 - Vastaus puuttuu </v>
      </c>
      <c r="P59" s="923" t="str">
        <f>IF(VLOOKUP($C$3&amp;"-"&amp;$D59,Import!$C:$H,3,FALSE)=0,"",VLOOKUP($C$3&amp;"-"&amp;$D59,Import!$C:$H,3,FALSE))</f>
        <v/>
      </c>
      <c r="Q59" s="923" t="str">
        <f>IF(VLOOKUP($C$3&amp;"-"&amp;$D59,Import!$C:$H,4,FALSE)=0,"",VLOOKUP($C$3&amp;"-"&amp;$D59,Import!$C:$H,4,FALSE))</f>
        <v/>
      </c>
      <c r="R59" s="923" t="str">
        <f>IF(VLOOKUP($C$3&amp;"-"&amp;$D59,Import!$C:$H,5,FALSE)=0,"",VLOOKUP($C$3&amp;"-"&amp;$D59,Import!$C:$H,5,FALSE))</f>
        <v/>
      </c>
      <c r="S59" s="924" t="str">
        <f>IF(VLOOKUP($C$3&amp;"-"&amp;$D59,Import!$C:$H,6,FALSE)=0,"",VLOOKUP($C$3&amp;"-"&amp;$D59,Import!$C:$H,6,FALSE))</f>
        <v/>
      </c>
      <c r="T59" s="154"/>
      <c r="U59" s="252"/>
    </row>
    <row r="60" spans="1:21" s="177" customFormat="1" ht="30" customHeight="1" x14ac:dyDescent="0.25">
      <c r="A60" s="166"/>
      <c r="B60" s="269"/>
      <c r="C60" s="170">
        <v>5</v>
      </c>
      <c r="D60" s="170" t="str">
        <f>IF(VLOOKUP(CONCATENATE($C$3,"-",C60),Languages!$A:$D,1,TRUE)=CONCATENATE($C$3,"-",C60),VLOOKUP(CONCATENATE($C$3,"-",C60),Languages!$A:$D,Summary!$C$7,TRUE),NA())</f>
        <v>Yleisiä hallintatoimia</v>
      </c>
      <c r="E60" s="170"/>
      <c r="F60" s="292"/>
      <c r="G60" s="907"/>
      <c r="H60" s="929"/>
      <c r="I60" s="929"/>
      <c r="J60" s="929"/>
      <c r="K60" s="929"/>
      <c r="L60" s="154"/>
      <c r="M60" s="252"/>
      <c r="N60" s="149"/>
      <c r="O60" s="292"/>
      <c r="P60" s="293"/>
      <c r="Q60" s="293"/>
      <c r="R60" s="293"/>
      <c r="S60" s="293"/>
      <c r="T60" s="154"/>
      <c r="U60" s="252"/>
    </row>
    <row r="61" spans="1:21" s="285" customFormat="1" ht="19.95" customHeight="1" x14ac:dyDescent="0.2">
      <c r="A61" s="304"/>
      <c r="B61" s="279"/>
      <c r="C61" s="280" t="str">
        <f>IF(VLOOKUP("GEN-LEVEL",Languages!$A:$D,1,TRUE)="GEN-LEVEL",VLOOKUP("GEN-LEVEL",Languages!$A:$D,Summary!$C$7,TRUE),NA())</f>
        <v>Taso</v>
      </c>
      <c r="D61" s="280"/>
      <c r="E61" s="281" t="str">
        <f>IF(VLOOKUP("GEN-PRACTICE",Languages!$A:$D,1,TRUE)="GEN-PRACTICE",VLOOKUP("GEN-PRACTICE",Languages!$A:$D,Summary!$C$7,TRUE),NA())</f>
        <v>Käytäntö</v>
      </c>
      <c r="F61" s="282"/>
      <c r="G61" s="904" t="str">
        <f>IF(VLOOKUP("GEN-ANSWER",Languages!$A:$D,1,TRUE)="GEN-ANSWER",VLOOKUP("GEN-ANSWER",Languages!$A:$D,Summary!$C$7,TRUE),NA())</f>
        <v>Vastaus</v>
      </c>
      <c r="H61" s="905" t="str">
        <f>IF(VLOOKUP("KM112",Languages!$A:$D,1,TRUE)="KM112",VLOOKUP("KM112",Languages!$A:$D,Summary!$C$7,TRUE),NA())</f>
        <v>Kommentit</v>
      </c>
      <c r="I61" s="905" t="str">
        <f>IF(VLOOKUP("KM113",Languages!$A:$D,1,TRUE)="KM113",VLOOKUP("KM113",Languages!$A:$D,Summary!$C$7,TRUE),NA())</f>
        <v>Sisäinen viittaus</v>
      </c>
      <c r="J61" s="905" t="str">
        <f>IF(VLOOKUP("KM114",Languages!$A:$D,1,TRUE)="KM114",VLOOKUP("KM114",Languages!$A:$D,Summary!$C$7,TRUE),NA())</f>
        <v>Ulkoinen viittaus</v>
      </c>
      <c r="K61" s="905" t="str">
        <f>IF(VLOOKUP("KM115",Languages!$A:$D,1,TRUE)="KM115",VLOOKUP("KM115",Languages!$A:$D,Summary!$C$7,TRUE),NA())</f>
        <v>Kehityskohde</v>
      </c>
      <c r="L61" s="283"/>
      <c r="M61" s="284"/>
      <c r="N61" s="279"/>
      <c r="O61" s="463" t="str">
        <f>IF(VLOOKUP("GEN-ANSWER",Languages!$A:$D,1,TRUE)="GEN-ANSWER",VLOOKUP("GEN-ANSWER",Languages!$A:$D,Summary!$C$7,TRUE),NA())</f>
        <v>Vastaus</v>
      </c>
      <c r="P61" s="463" t="str">
        <f>IF(VLOOKUP("KM112",Languages!$A:$D,1,TRUE)="KM112",VLOOKUP("KM112",Languages!$A:$D,Summary!$C$7,TRUE),NA())</f>
        <v>Kommentit</v>
      </c>
      <c r="Q61" s="463" t="str">
        <f>IF(VLOOKUP("KM113",Languages!$A:$D,1,TRUE)="KM113",VLOOKUP("KM113",Languages!$A:$D,Summary!$C$7,TRUE),NA())</f>
        <v>Sisäinen viittaus</v>
      </c>
      <c r="R61" s="463" t="str">
        <f>IF(VLOOKUP("KM114",Languages!$A:$D,1,TRUE)="KM114",VLOOKUP("KM114",Languages!$A:$D,Summary!$C$7,TRUE),NA())</f>
        <v>Ulkoinen viittaus</v>
      </c>
      <c r="S61" s="463" t="str">
        <f>IF(VLOOKUP("KM115",Languages!$A:$D,1,TRUE)="KM115",VLOOKUP("KM115",Languages!$A:$D,Summary!$C$7,TRUE),NA())</f>
        <v>Kehityskohde</v>
      </c>
      <c r="T61" s="283"/>
      <c r="U61" s="284"/>
    </row>
    <row r="62" spans="1:21" s="311" customFormat="1" ht="19.95" customHeight="1" x14ac:dyDescent="0.2">
      <c r="A62" s="284"/>
      <c r="B62" s="279"/>
      <c r="C62" s="457">
        <v>1</v>
      </c>
      <c r="D62" s="401"/>
      <c r="E62" s="402"/>
      <c r="F62" s="404"/>
      <c r="G62" s="908"/>
      <c r="H62" s="909"/>
      <c r="I62" s="909"/>
      <c r="J62" s="909"/>
      <c r="K62" s="910"/>
      <c r="L62" s="154"/>
      <c r="M62" s="252"/>
      <c r="N62" s="149"/>
      <c r="O62" s="517"/>
      <c r="P62" s="403"/>
      <c r="Q62" s="403"/>
      <c r="R62" s="403"/>
      <c r="S62" s="405"/>
      <c r="T62" s="154"/>
      <c r="U62" s="252"/>
    </row>
    <row r="63" spans="1:21" s="296" customFormat="1" ht="34.950000000000003" customHeight="1" x14ac:dyDescent="0.2">
      <c r="A63" s="305"/>
      <c r="B63" s="1199"/>
      <c r="C63" s="1207">
        <v>2</v>
      </c>
      <c r="D63" s="395" t="s">
        <v>134</v>
      </c>
      <c r="E63" s="467" t="str">
        <f>IF(VLOOKUP(CONCATENATE($C$3,"-",$D63),Languages!$A:$D,1,TRUE)=CONCATENATE($C$3,"-",$D63),VLOOKUP(CONCATENATE($C$3,"-",$D63),Languages!$A:$D,Summary!$C$7,TRUE),NA())</f>
        <v>WORKFORCE-osion toimintaa varten on määritetty dokumentoidut toimintatavat, joita noudatetaan ja päivitetään säännöllisesti.</v>
      </c>
      <c r="F63" s="386">
        <f t="shared" ref="F63:F68" si="4">IFERROR(INT(LEFT($G63,1)),0)</f>
        <v>0</v>
      </c>
      <c r="G63" s="445" t="s">
        <v>2542</v>
      </c>
      <c r="H63" s="442"/>
      <c r="I63" s="442"/>
      <c r="J63" s="442"/>
      <c r="K63" s="451"/>
      <c r="L63" s="154"/>
      <c r="M63" s="252"/>
      <c r="N63" s="149"/>
      <c r="O63" s="889" t="str">
        <f>VLOOKUP(VLOOKUP($C$3&amp;"-"&amp;$D63,Import!$C:$D,2,FALSE),Parameters!$C$18:$F$22,Summary!$C$7,FALSE)</f>
        <v xml:space="preserve">0 - Vastaus puuttuu </v>
      </c>
      <c r="P63" s="921" t="str">
        <f>IF(VLOOKUP($C$3&amp;"-"&amp;$D63,Import!$C:$H,3,FALSE)=0,"",VLOOKUP($C$3&amp;"-"&amp;$D63,Import!$C:$H,3,FALSE))</f>
        <v/>
      </c>
      <c r="Q63" s="921" t="str">
        <f>IF(VLOOKUP($C$3&amp;"-"&amp;$D63,Import!$C:$H,4,FALSE)=0,"",VLOOKUP($C$3&amp;"-"&amp;$D63,Import!$C:$H,4,FALSE))</f>
        <v/>
      </c>
      <c r="R63" s="921" t="str">
        <f>IF(VLOOKUP($C$3&amp;"-"&amp;$D63,Import!$C:$H,5,FALSE)=0,"",VLOOKUP($C$3&amp;"-"&amp;$D63,Import!$C:$H,5,FALSE))</f>
        <v/>
      </c>
      <c r="S63" s="922" t="str">
        <f>IF(VLOOKUP($C$3&amp;"-"&amp;$D63,Import!$C:$H,6,FALSE)=0,"",VLOOKUP($C$3&amp;"-"&amp;$D63,Import!$C:$H,6,FALSE))</f>
        <v/>
      </c>
      <c r="T63" s="154"/>
      <c r="U63" s="252"/>
    </row>
    <row r="64" spans="1:21" s="296" customFormat="1" ht="34.950000000000003" customHeight="1" x14ac:dyDescent="0.2">
      <c r="A64" s="305"/>
      <c r="B64" s="1199"/>
      <c r="C64" s="1208"/>
      <c r="D64" s="396" t="s">
        <v>137</v>
      </c>
      <c r="E64" s="474" t="str">
        <f>IF(VLOOKUP(CONCATENATE($C$3,"-",$D64),Languages!$A:$D,1,TRUE)=CONCATENATE($C$3,"-",$D64),VLOOKUP(CONCATENATE($C$3,"-",$D64),Languages!$A:$D,Summary!$C$7,TRUE),NA())</f>
        <v>WORKFORCE-osion toimintaa varten on tarjolla riittävät resurssit (henkilöstö, rahoitus ja työkalut).</v>
      </c>
      <c r="F64" s="393">
        <f t="shared" si="4"/>
        <v>0</v>
      </c>
      <c r="G64" s="449" t="s">
        <v>2542</v>
      </c>
      <c r="H64" s="444"/>
      <c r="I64" s="444"/>
      <c r="J64" s="444"/>
      <c r="K64" s="453"/>
      <c r="L64" s="154"/>
      <c r="M64" s="252"/>
      <c r="N64" s="149"/>
      <c r="O64" s="897" t="str">
        <f>VLOOKUP(VLOOKUP($C$3&amp;"-"&amp;$D64,Import!$C:$D,2,FALSE),Parameters!$C$18:$F$22,Summary!$C$7,FALSE)</f>
        <v xml:space="preserve">0 - Vastaus puuttuu </v>
      </c>
      <c r="P64" s="923" t="str">
        <f>IF(VLOOKUP($C$3&amp;"-"&amp;$D64,Import!$C:$H,3,FALSE)=0,"",VLOOKUP($C$3&amp;"-"&amp;$D64,Import!$C:$H,3,FALSE))</f>
        <v/>
      </c>
      <c r="Q64" s="923" t="str">
        <f>IF(VLOOKUP($C$3&amp;"-"&amp;$D64,Import!$C:$H,4,FALSE)=0,"",VLOOKUP($C$3&amp;"-"&amp;$D64,Import!$C:$H,4,FALSE))</f>
        <v/>
      </c>
      <c r="R64" s="923" t="str">
        <f>IF(VLOOKUP($C$3&amp;"-"&amp;$D64,Import!$C:$H,5,FALSE)=0,"",VLOOKUP($C$3&amp;"-"&amp;$D64,Import!$C:$H,5,FALSE))</f>
        <v/>
      </c>
      <c r="S64" s="924" t="str">
        <f>IF(VLOOKUP($C$3&amp;"-"&amp;$D64,Import!$C:$H,6,FALSE)=0,"",VLOOKUP($C$3&amp;"-"&amp;$D64,Import!$C:$H,6,FALSE))</f>
        <v/>
      </c>
      <c r="T64" s="154"/>
      <c r="U64" s="252"/>
    </row>
    <row r="65" spans="1:21" s="296" customFormat="1" ht="43.2" customHeight="1" x14ac:dyDescent="0.2">
      <c r="A65" s="305"/>
      <c r="B65" s="1199"/>
      <c r="C65" s="1209">
        <v>3</v>
      </c>
      <c r="D65" s="395" t="s">
        <v>140</v>
      </c>
      <c r="E65" s="467" t="str">
        <f>IF(VLOOKUP(CONCATENATE($C$3,"-",$D65),Languages!$A:$D,1,TRUE)=CONCATENATE($C$3,"-",$D65),VLOOKUP(CONCATENATE($C$3,"-",$D65),Languages!$A:$D,Summary!$C$7,TRUE),NA())</f>
        <v>WORKFORCE-osion toimintaa ohjataan vaatimuksilla, jotka on asetettu organisaation johtotason politiikassa (tai vastaavassa ohjeistuksessa).</v>
      </c>
      <c r="F65" s="386">
        <f t="shared" si="4"/>
        <v>0</v>
      </c>
      <c r="G65" s="445" t="s">
        <v>2542</v>
      </c>
      <c r="H65" s="442"/>
      <c r="I65" s="442"/>
      <c r="J65" s="442"/>
      <c r="K65" s="451"/>
      <c r="L65" s="154"/>
      <c r="M65" s="252"/>
      <c r="N65" s="149"/>
      <c r="O65" s="889" t="str">
        <f>VLOOKUP(VLOOKUP($C$3&amp;"-"&amp;$D65,Import!$C:$D,2,FALSE),Parameters!$C$18:$F$22,Summary!$C$7,FALSE)</f>
        <v xml:space="preserve">0 - Vastaus puuttuu </v>
      </c>
      <c r="P65" s="921" t="str">
        <f>IF(VLOOKUP($C$3&amp;"-"&amp;$D65,Import!$C:$H,3,FALSE)=0,"",VLOOKUP($C$3&amp;"-"&amp;$D65,Import!$C:$H,3,FALSE))</f>
        <v/>
      </c>
      <c r="Q65" s="921" t="str">
        <f>IF(VLOOKUP($C$3&amp;"-"&amp;$D65,Import!$C:$H,4,FALSE)=0,"",VLOOKUP($C$3&amp;"-"&amp;$D65,Import!$C:$H,4,FALSE))</f>
        <v/>
      </c>
      <c r="R65" s="921" t="str">
        <f>IF(VLOOKUP($C$3&amp;"-"&amp;$D65,Import!$C:$H,5,FALSE)=0,"",VLOOKUP($C$3&amp;"-"&amp;$D65,Import!$C:$H,5,FALSE))</f>
        <v/>
      </c>
      <c r="S65" s="922" t="str">
        <f>IF(VLOOKUP($C$3&amp;"-"&amp;$D65,Import!$C:$H,6,FALSE)=0,"",VLOOKUP($C$3&amp;"-"&amp;$D65,Import!$C:$H,6,FALSE))</f>
        <v/>
      </c>
      <c r="T65" s="154"/>
      <c r="U65" s="252"/>
    </row>
    <row r="66" spans="1:21" s="296" customFormat="1" ht="34.950000000000003" customHeight="1" x14ac:dyDescent="0.2">
      <c r="A66" s="305"/>
      <c r="B66" s="1199"/>
      <c r="C66" s="1210"/>
      <c r="D66" s="294" t="s">
        <v>142</v>
      </c>
      <c r="E66" s="468" t="str">
        <f>IF(VLOOKUP(CONCATENATE($C$3,"-",$D66),Languages!$A:$D,1,TRUE)=CONCATENATE($C$3,"-",$D66),VLOOKUP(CONCATENATE($C$3,"-",$D66),Languages!$A:$D,Summary!$C$7,TRUE),NA())</f>
        <v>WORKFORCE-osion toiminnan suorittamiseen tarvittavat vastuut, tilivelvollisuudet ja valtuutukset on jalkautettu soveltuville työntekijöille.</v>
      </c>
      <c r="F66" s="287">
        <f t="shared" si="4"/>
        <v>0</v>
      </c>
      <c r="G66" s="307" t="s">
        <v>2542</v>
      </c>
      <c r="H66" s="443"/>
      <c r="I66" s="443"/>
      <c r="J66" s="443"/>
      <c r="K66" s="452"/>
      <c r="L66" s="154"/>
      <c r="M66" s="252"/>
      <c r="N66" s="149"/>
      <c r="O66" s="892" t="str">
        <f>VLOOKUP(VLOOKUP($C$3&amp;"-"&amp;$D66,Import!$C:$D,2,FALSE),Parameters!$C$18:$F$22,Summary!$C$7,FALSE)</f>
        <v xml:space="preserve">0 - Vastaus puuttuu </v>
      </c>
      <c r="P66" s="916" t="str">
        <f>IF(VLOOKUP($C$3&amp;"-"&amp;$D66,Import!$C:$H,3,FALSE)=0,"",VLOOKUP($C$3&amp;"-"&amp;$D66,Import!$C:$H,3,FALSE))</f>
        <v/>
      </c>
      <c r="Q66" s="916" t="str">
        <f>IF(VLOOKUP($C$3&amp;"-"&amp;$D66,Import!$C:$H,4,FALSE)=0,"",VLOOKUP($C$3&amp;"-"&amp;$D66,Import!$C:$H,4,FALSE))</f>
        <v/>
      </c>
      <c r="R66" s="916" t="str">
        <f>IF(VLOOKUP($C$3&amp;"-"&amp;$D66,Import!$C:$H,5,FALSE)=0,"",VLOOKUP($C$3&amp;"-"&amp;$D66,Import!$C:$H,5,FALSE))</f>
        <v/>
      </c>
      <c r="S66" s="917" t="str">
        <f>IF(VLOOKUP($C$3&amp;"-"&amp;$D66,Import!$C:$H,6,FALSE)=0,"",VLOOKUP($C$3&amp;"-"&amp;$D66,Import!$C:$H,6,FALSE))</f>
        <v/>
      </c>
      <c r="T66" s="154"/>
      <c r="U66" s="252"/>
    </row>
    <row r="67" spans="1:21" s="296" customFormat="1" ht="41.4" customHeight="1" x14ac:dyDescent="0.2">
      <c r="A67" s="305"/>
      <c r="B67" s="1199"/>
      <c r="C67" s="1210"/>
      <c r="D67" s="294" t="s">
        <v>144</v>
      </c>
      <c r="E67" s="468" t="str">
        <f>IF(VLOOKUP(CONCATENATE($C$3,"-",$D67),Languages!$A:$D,1,TRUE)=CONCATENATE($C$3,"-",$D67),VLOOKUP(CONCATENATE($C$3,"-",$D67),Languages!$A:$D,Summary!$C$7,TRUE),NA())</f>
        <v>WORKFORCE-osion toimintaa suorittavilla työntekijöillä on riittävät tiedot ja taidot tehtäviensä suorittamiseen.</v>
      </c>
      <c r="F67" s="287">
        <f t="shared" si="4"/>
        <v>0</v>
      </c>
      <c r="G67" s="307" t="s">
        <v>2542</v>
      </c>
      <c r="H67" s="443"/>
      <c r="I67" s="443"/>
      <c r="J67" s="443"/>
      <c r="K67" s="452"/>
      <c r="L67" s="154"/>
      <c r="M67" s="252"/>
      <c r="N67" s="149"/>
      <c r="O67" s="892" t="str">
        <f>VLOOKUP(VLOOKUP($C$3&amp;"-"&amp;$D67,Import!$C:$D,2,FALSE),Parameters!$C$18:$F$22,Summary!$C$7,FALSE)</f>
        <v xml:space="preserve">0 - Vastaus puuttuu </v>
      </c>
      <c r="P67" s="916" t="str">
        <f>IF(VLOOKUP($C$3&amp;"-"&amp;$D67,Import!$C:$H,3,FALSE)=0,"",VLOOKUP($C$3&amp;"-"&amp;$D67,Import!$C:$H,3,FALSE))</f>
        <v/>
      </c>
      <c r="Q67" s="916" t="str">
        <f>IF(VLOOKUP($C$3&amp;"-"&amp;$D67,Import!$C:$H,4,FALSE)=0,"",VLOOKUP($C$3&amp;"-"&amp;$D67,Import!$C:$H,4,FALSE))</f>
        <v/>
      </c>
      <c r="R67" s="916" t="str">
        <f>IF(VLOOKUP($C$3&amp;"-"&amp;$D67,Import!$C:$H,5,FALSE)=0,"",VLOOKUP($C$3&amp;"-"&amp;$D67,Import!$C:$H,5,FALSE))</f>
        <v/>
      </c>
      <c r="S67" s="917" t="str">
        <f>IF(VLOOKUP($C$3&amp;"-"&amp;$D67,Import!$C:$H,6,FALSE)=0,"",VLOOKUP($C$3&amp;"-"&amp;$D67,Import!$C:$H,6,FALSE))</f>
        <v/>
      </c>
      <c r="T67" s="154"/>
      <c r="U67" s="252"/>
    </row>
    <row r="68" spans="1:21" s="296" customFormat="1" ht="34.950000000000003" customHeight="1" x14ac:dyDescent="0.2">
      <c r="A68" s="305"/>
      <c r="B68" s="1199"/>
      <c r="C68" s="1211"/>
      <c r="D68" s="396" t="s">
        <v>146</v>
      </c>
      <c r="E68" s="474" t="str">
        <f>IF(VLOOKUP(CONCATENATE($C$3,"-",$D68),Languages!$A:$D,1,TRUE)=CONCATENATE($C$3,"-",$D68),VLOOKUP(CONCATENATE($C$3,"-",$D68),Languages!$A:$D,Summary!$C$7,TRUE),NA())</f>
        <v>WORKFORCE-osion toiminnan vaikuttavuutta arvioidaan ja seurataan.</v>
      </c>
      <c r="F68" s="393">
        <f t="shared" si="4"/>
        <v>0</v>
      </c>
      <c r="G68" s="449" t="s">
        <v>2542</v>
      </c>
      <c r="H68" s="444"/>
      <c r="I68" s="444"/>
      <c r="J68" s="444"/>
      <c r="K68" s="453"/>
      <c r="L68" s="154"/>
      <c r="M68" s="252"/>
      <c r="N68" s="149"/>
      <c r="O68" s="897" t="str">
        <f>VLOOKUP(VLOOKUP($C$3&amp;"-"&amp;$D68,Import!$C:$D,2,FALSE),Parameters!$C$18:$F$22,Summary!$C$7,FALSE)</f>
        <v xml:space="preserve">0 - Vastaus puuttuu </v>
      </c>
      <c r="P68" s="923" t="str">
        <f>IF(VLOOKUP($C$3&amp;"-"&amp;$D68,Import!$C:$H,3,FALSE)=0,"",VLOOKUP($C$3&amp;"-"&amp;$D68,Import!$C:$H,3,FALSE))</f>
        <v/>
      </c>
      <c r="Q68" s="923" t="str">
        <f>IF(VLOOKUP($C$3&amp;"-"&amp;$D68,Import!$C:$H,4,FALSE)=0,"",VLOOKUP($C$3&amp;"-"&amp;$D68,Import!$C:$H,4,FALSE))</f>
        <v/>
      </c>
      <c r="R68" s="923" t="str">
        <f>IF(VLOOKUP($C$3&amp;"-"&amp;$D68,Import!$C:$H,5,FALSE)=0,"",VLOOKUP($C$3&amp;"-"&amp;$D68,Import!$C:$H,5,FALSE))</f>
        <v/>
      </c>
      <c r="S68" s="924" t="str">
        <f>IF(VLOOKUP($C$3&amp;"-"&amp;$D68,Import!$C:$H,6,FALSE)=0,"",VLOOKUP($C$3&amp;"-"&amp;$D68,Import!$C:$H,6,FALSE))</f>
        <v/>
      </c>
      <c r="T68" s="154"/>
      <c r="U68" s="252"/>
    </row>
    <row r="69" spans="1:21" x14ac:dyDescent="0.2">
      <c r="A69" s="181"/>
      <c r="B69" s="329"/>
      <c r="C69" s="330"/>
      <c r="D69" s="331"/>
      <c r="E69" s="332"/>
      <c r="F69" s="333"/>
      <c r="G69" s="334"/>
      <c r="H69" s="335"/>
      <c r="I69" s="335"/>
      <c r="J69" s="335"/>
      <c r="K69" s="335"/>
      <c r="L69" s="154"/>
      <c r="M69" s="252"/>
      <c r="N69" s="149"/>
      <c r="O69" s="334"/>
      <c r="P69" s="335"/>
      <c r="Q69" s="335"/>
      <c r="R69" s="335"/>
      <c r="S69" s="335"/>
      <c r="T69" s="154"/>
      <c r="U69" s="252"/>
    </row>
    <row r="70" spans="1:21" x14ac:dyDescent="0.25">
      <c r="A70" s="181"/>
      <c r="B70" s="181"/>
      <c r="C70" s="181"/>
      <c r="D70" s="181"/>
      <c r="E70" s="181"/>
      <c r="F70" s="336"/>
      <c r="G70" s="181"/>
      <c r="H70" s="181"/>
      <c r="I70" s="181"/>
      <c r="J70" s="181"/>
      <c r="K70" s="181"/>
      <c r="L70" s="476"/>
      <c r="M70" s="342"/>
      <c r="N70" s="476"/>
      <c r="O70" s="181"/>
      <c r="P70" s="181"/>
      <c r="Q70" s="181"/>
      <c r="R70" s="181"/>
      <c r="S70" s="181"/>
      <c r="T70" s="476"/>
      <c r="U70" s="342"/>
    </row>
    <row r="71" spans="1:21" x14ac:dyDescent="0.25">
      <c r="H71" s="338"/>
      <c r="I71" s="338"/>
      <c r="K71" s="338"/>
      <c r="P71" s="338"/>
      <c r="Q71" s="338"/>
      <c r="S71" s="338"/>
    </row>
  </sheetData>
  <sheetProtection sheet="1" formatCells="0" formatColumns="0" formatRows="0"/>
  <mergeCells count="52">
    <mergeCell ref="O21:O22"/>
    <mergeCell ref="P21:P22"/>
    <mergeCell ref="Q21:Q22"/>
    <mergeCell ref="R21:R22"/>
    <mergeCell ref="S21:S22"/>
    <mergeCell ref="O19:O20"/>
    <mergeCell ref="P19:P20"/>
    <mergeCell ref="Q19:Q20"/>
    <mergeCell ref="R19:R20"/>
    <mergeCell ref="S19:S20"/>
    <mergeCell ref="O17:O18"/>
    <mergeCell ref="P17:P18"/>
    <mergeCell ref="Q17:Q18"/>
    <mergeCell ref="R17:R18"/>
    <mergeCell ref="S17:S18"/>
    <mergeCell ref="O15:O16"/>
    <mergeCell ref="P15:P16"/>
    <mergeCell ref="Q15:Q16"/>
    <mergeCell ref="R15:R16"/>
    <mergeCell ref="S15:S16"/>
    <mergeCell ref="O3:S11"/>
    <mergeCell ref="O13:O14"/>
    <mergeCell ref="P13:P14"/>
    <mergeCell ref="Q13:Q14"/>
    <mergeCell ref="R13:R14"/>
    <mergeCell ref="S13:S14"/>
    <mergeCell ref="C6:K6"/>
    <mergeCell ref="B37:B38"/>
    <mergeCell ref="I8:J8"/>
    <mergeCell ref="I10:J11"/>
    <mergeCell ref="C13:K13"/>
    <mergeCell ref="B28:B29"/>
    <mergeCell ref="B30:B34"/>
    <mergeCell ref="C28:C29"/>
    <mergeCell ref="C15:K15"/>
    <mergeCell ref="C17:K17"/>
    <mergeCell ref="C19:K19"/>
    <mergeCell ref="C21:K21"/>
    <mergeCell ref="C30:C32"/>
    <mergeCell ref="C33:C34"/>
    <mergeCell ref="C38:C40"/>
    <mergeCell ref="C41:C43"/>
    <mergeCell ref="B63:B66"/>
    <mergeCell ref="B67:B68"/>
    <mergeCell ref="C46:C47"/>
    <mergeCell ref="C63:C64"/>
    <mergeCell ref="C65:C68"/>
    <mergeCell ref="C58:C59"/>
    <mergeCell ref="C48:C49"/>
    <mergeCell ref="C50:C51"/>
    <mergeCell ref="C54:C55"/>
    <mergeCell ref="C56:C57"/>
  </mergeCells>
  <conditionalFormatting sqref="F4:F5 F7:F12 F46:F52 F62:F1048576 F54:F60 F28:F35 F37:F44">
    <cfRule type="containsText" dxfId="141" priority="29" operator="containsText" text="0">
      <formula>NOT(ISERROR(SEARCH("0",F4)))</formula>
    </cfRule>
  </conditionalFormatting>
  <conditionalFormatting sqref="F1 F3">
    <cfRule type="containsText" dxfId="140" priority="22" operator="containsText" text="0">
      <formula>NOT(ISERROR(SEARCH("0",F1)))</formula>
    </cfRule>
  </conditionalFormatting>
  <conditionalFormatting sqref="F2">
    <cfRule type="containsText" dxfId="139" priority="21" operator="containsText" text="0">
      <formula>NOT(ISERROR(SEARCH("0",F2)))</formula>
    </cfRule>
  </conditionalFormatting>
  <conditionalFormatting sqref="F61">
    <cfRule type="containsText" dxfId="138" priority="19" operator="containsText" text="0">
      <formula>NOT(ISERROR(SEARCH("0",F61)))</formula>
    </cfRule>
  </conditionalFormatting>
  <conditionalFormatting sqref="F53">
    <cfRule type="containsText" dxfId="137" priority="17" operator="containsText" text="0">
      <formula>NOT(ISERROR(SEARCH("0",F53)))</formula>
    </cfRule>
  </conditionalFormatting>
  <conditionalFormatting sqref="F45">
    <cfRule type="containsText" dxfId="136" priority="15" operator="containsText" text="0">
      <formula>NOT(ISERROR(SEARCH("0",F45)))</formula>
    </cfRule>
  </conditionalFormatting>
  <conditionalFormatting sqref="F36">
    <cfRule type="containsText" dxfId="135" priority="13" operator="containsText" text="0">
      <formula>NOT(ISERROR(SEARCH("0",F36)))</formula>
    </cfRule>
  </conditionalFormatting>
  <conditionalFormatting sqref="F27">
    <cfRule type="containsText" dxfId="134" priority="11" operator="containsText" text="0">
      <formula>NOT(ISERROR(SEARCH("0",F27)))</formula>
    </cfRule>
  </conditionalFormatting>
  <conditionalFormatting sqref="F14">
    <cfRule type="containsText" dxfId="133" priority="9" operator="containsText" text="0">
      <formula>NOT(ISERROR(SEARCH("0",F14)))</formula>
    </cfRule>
  </conditionalFormatting>
  <conditionalFormatting sqref="F16">
    <cfRule type="containsText" dxfId="132" priority="7" operator="containsText" text="0">
      <formula>NOT(ISERROR(SEARCH("0",F16)))</formula>
    </cfRule>
  </conditionalFormatting>
  <conditionalFormatting sqref="F18">
    <cfRule type="containsText" dxfId="131" priority="5" operator="containsText" text="0">
      <formula>NOT(ISERROR(SEARCH("0",F18)))</formula>
    </cfRule>
  </conditionalFormatting>
  <conditionalFormatting sqref="F20">
    <cfRule type="containsText" dxfId="130" priority="3" operator="containsText" text="0">
      <formula>NOT(ISERROR(SEARCH("0",F20)))</formula>
    </cfRule>
  </conditionalFormatting>
  <conditionalFormatting sqref="F26">
    <cfRule type="containsText" dxfId="129" priority="1" operator="containsText" text="0">
      <formula>NOT(ISERROR(SEARCH("0",F26)))</formula>
    </cfRule>
  </conditionalFormatting>
  <pageMargins left="0.7" right="0.7" top="0.75" bottom="0.75" header="0.3" footer="0.3"/>
  <pageSetup paperSize="9" scale="42" orientation="portrait" r:id="rId1"/>
  <rowBreaks count="1" manualBreakCount="1">
    <brk id="43" max="16383" man="1"/>
  </rowBreaks>
  <colBreaks count="1" manualBreakCount="1">
    <brk id="13" max="1048575" man="1"/>
  </colBreaks>
  <ignoredErrors>
    <ignoredError sqref="O28:S32 O43:S43 O46:S51 O59:S59 O63:S68 O34:S34 O37:S41 O54:S57"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0" id="{8BCB4737-1DBF-4151-AE0E-F320A5F799C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F62:F1048576 F4:F5 F7:F12 F46:F52 F54:F60 F28:F35 F37:F44</xm:sqref>
        </x14:conditionalFormatting>
        <x14:conditionalFormatting xmlns:xm="http://schemas.microsoft.com/office/excel/2006/main">
          <x14:cfRule type="iconSet" priority="23" id="{051209B8-0ADD-40DD-A98D-FF3550DDE4A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044360E7-7D71-4093-9AC3-327CC9850EE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241E4C85-E0E2-4EB5-B3EA-3AE4A0C9650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F61</xm:sqref>
        </x14:conditionalFormatting>
        <x14:conditionalFormatting xmlns:xm="http://schemas.microsoft.com/office/excel/2006/main">
          <x14:cfRule type="iconSet" priority="18" id="{337411D7-511F-4C6D-9118-AEB5BA79A12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F53</xm:sqref>
        </x14:conditionalFormatting>
        <x14:conditionalFormatting xmlns:xm="http://schemas.microsoft.com/office/excel/2006/main">
          <x14:cfRule type="iconSet" priority="16" id="{3AA0A9A6-1101-4ED1-BE7F-3D3CAEBF5B6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xm:sqref>
        </x14:conditionalFormatting>
        <x14:conditionalFormatting xmlns:xm="http://schemas.microsoft.com/office/excel/2006/main">
          <x14:cfRule type="iconSet" priority="14" id="{77E56B86-AFEE-4065-AF12-95389BB7CE2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F36</xm:sqref>
        </x14:conditionalFormatting>
        <x14:conditionalFormatting xmlns:xm="http://schemas.microsoft.com/office/excel/2006/main">
          <x14:cfRule type="iconSet" priority="12" id="{DB7C433E-D3CC-4DA2-AEDE-FE5D8435FD7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F27</xm:sqref>
        </x14:conditionalFormatting>
        <x14:conditionalFormatting xmlns:xm="http://schemas.microsoft.com/office/excel/2006/main">
          <x14:cfRule type="iconSet" priority="10" id="{5EF21851-8FF4-4C92-BCFD-F2BF0C40A3D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B2F6CA16-BC8F-4124-9667-F8A8A50C81B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91209511-6BA0-406D-9946-80DB950446D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BE503D46-9918-4F2F-BE0B-5D200548592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E0DF4F83-14CB-4906-B2F0-012C580AAE6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Parameters!$B$18:$B$22</xm:f>
          </x14:formula1>
          <xm:sqref>G63:G68 G54:G59 G37:G43 G28:G34 G46:G51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2" tint="0.79998168889431442"/>
  </sheetPr>
  <dimension ref="A1:U102"/>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464"/>
      <c r="O2" s="806"/>
      <c r="P2" s="806"/>
      <c r="Q2" s="806"/>
      <c r="R2" s="806"/>
      <c r="S2" s="806"/>
      <c r="T2" s="807"/>
      <c r="U2" s="252"/>
    </row>
    <row r="3" spans="1:21" s="257" customFormat="1" ht="25.05" customHeight="1" x14ac:dyDescent="0.25">
      <c r="A3" s="252"/>
      <c r="B3" s="149"/>
      <c r="C3" s="150" t="s">
        <v>77</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8"/>
      <c r="O3" s="1184" t="str">
        <f>VLOOKUP($C$3,Infoimport!$B$4:$C$14,2,FALSE)</f>
        <v xml:space="preserve">ARCHITECTURE, tiedot Infoimport-välilehdeltä
</v>
      </c>
      <c r="P3" s="1184"/>
      <c r="Q3" s="1184"/>
      <c r="R3" s="1184"/>
      <c r="S3" s="1184"/>
      <c r="T3" s="809"/>
      <c r="U3" s="252"/>
    </row>
    <row r="4" spans="1:21" s="318" customFormat="1" ht="25.05" customHeight="1" x14ac:dyDescent="0.3">
      <c r="A4" s="316"/>
      <c r="B4" s="317"/>
      <c r="C4" s="155" t="str">
        <f>IF(VLOOKUP($C$3,Languages!$A:$D,1,TRUE)=$C$3,VLOOKUP($C$3,Languages!$A:$D,Summary!$C$7,TRUE),NA())</f>
        <v>Kyberturvallisuusarkkitehtuuri (ARCHITECTURE)</v>
      </c>
      <c r="D4" s="258"/>
      <c r="E4" s="259"/>
      <c r="F4" s="320"/>
      <c r="G4" s="319"/>
      <c r="H4" s="261" t="str">
        <f ca="1">VLOOKUP(VLOOKUP(CONCATENATE($C$3),Data!$K:$O,5,FALSE),Parameters!$C$7:$F$10,Summary!$C$7,FALSE)</f>
        <v>Kypsyystaso 0</v>
      </c>
      <c r="I4" s="697"/>
      <c r="J4" s="262"/>
      <c r="K4" s="148"/>
      <c r="L4" s="154"/>
      <c r="M4" s="252"/>
      <c r="N4" s="808"/>
      <c r="O4" s="1184"/>
      <c r="P4" s="1184"/>
      <c r="Q4" s="1184"/>
      <c r="R4" s="1184"/>
      <c r="S4" s="1184"/>
      <c r="T4" s="809"/>
      <c r="U4" s="252"/>
    </row>
    <row r="5" spans="1:21" ht="10.050000000000001" customHeight="1" x14ac:dyDescent="0.25">
      <c r="A5" s="178"/>
      <c r="B5" s="308"/>
      <c r="C5" s="321"/>
      <c r="D5" s="322"/>
      <c r="E5" s="322"/>
      <c r="F5" s="261"/>
      <c r="G5" s="261"/>
      <c r="H5" s="797"/>
      <c r="I5" s="262"/>
      <c r="J5" s="262"/>
      <c r="K5" s="148"/>
      <c r="L5" s="154"/>
      <c r="M5" s="252"/>
      <c r="N5" s="808"/>
      <c r="O5" s="1184"/>
      <c r="P5" s="1184"/>
      <c r="Q5" s="1184"/>
      <c r="R5" s="1184"/>
      <c r="S5" s="1184"/>
      <c r="T5" s="809"/>
      <c r="U5" s="252"/>
    </row>
    <row r="6" spans="1:21" ht="60" customHeight="1" x14ac:dyDescent="0.2">
      <c r="A6" s="178"/>
      <c r="B6" s="308"/>
      <c r="C6" s="1204" t="str">
        <f>IF(VLOOKUP(CONCATENATE(C3,"-0"),Languages!$A:$D,1,TRUE)=CONCATENATE(C3,"-0"),VLOOKUP(CONCATENATE(C3,"-0"),Languages!$A:$D,Summary!$C$7,TRUE),NA())</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D6" s="1204"/>
      <c r="E6" s="1204"/>
      <c r="F6" s="1204"/>
      <c r="G6" s="1204"/>
      <c r="H6" s="1204"/>
      <c r="I6" s="1204"/>
      <c r="J6" s="1204"/>
      <c r="K6" s="1204"/>
      <c r="L6" s="154"/>
      <c r="M6" s="252"/>
      <c r="N6" s="808"/>
      <c r="O6" s="1184"/>
      <c r="P6" s="1184"/>
      <c r="Q6" s="1184"/>
      <c r="R6" s="1184"/>
      <c r="S6" s="1184"/>
      <c r="T6" s="809"/>
      <c r="U6" s="252"/>
    </row>
    <row r="7" spans="1:21" ht="14.4" customHeight="1" x14ac:dyDescent="0.2">
      <c r="A7" s="178"/>
      <c r="B7" s="308"/>
      <c r="C7" s="264">
        <v>1</v>
      </c>
      <c r="D7" s="265" t="s">
        <v>1</v>
      </c>
      <c r="E7" s="266" t="str">
        <f>IF(VLOOKUP(CONCATENATE($C$3,"-",C7),Languages!$A:$D,1,TRUE)=CONCATENATE($C$3,"-",C7),VLOOKUP(CONCATENATE($C$3,"-",C7),Languages!$A:$D,Summary!$C$7,TRUE),NA())</f>
        <v>Kyberarkkitehtuurin kehittäminen</v>
      </c>
      <c r="H7" s="267" t="str">
        <f ca="1">VLOOKUP(VLOOKUP(CONCATENATE($C$3,"-",$C7),Data!$K:$O,5,FALSE),Parameters!$C$7:$F$10,Summary!$C$7,FALSE)</f>
        <v>Kypsyystaso 0</v>
      </c>
      <c r="I7" s="465" t="str">
        <f>IF(VLOOKUP("KM110",Languages!$A:$D,1,TRUE)="KM110",VLOOKUP("KM110",Languages!$A:$D,Summary!$C$7,TRUE),NA())</f>
        <v>Päivämäärä</v>
      </c>
      <c r="J7" s="439"/>
      <c r="K7" s="148"/>
      <c r="L7" s="154"/>
      <c r="M7" s="252"/>
      <c r="N7" s="808"/>
      <c r="O7" s="1184"/>
      <c r="P7" s="1184"/>
      <c r="Q7" s="1184"/>
      <c r="R7" s="1184"/>
      <c r="S7" s="1184"/>
      <c r="T7" s="809"/>
      <c r="U7" s="252"/>
    </row>
    <row r="8" spans="1:21" ht="14.4" customHeight="1" x14ac:dyDescent="0.25">
      <c r="A8" s="178"/>
      <c r="B8" s="308"/>
      <c r="C8" s="264">
        <v>2</v>
      </c>
      <c r="D8" s="265" t="s">
        <v>1</v>
      </c>
      <c r="E8" s="266" t="str">
        <f>IF(VLOOKUP(CONCATENATE($C$3,"-",C8),Languages!$A:$D,1,TRUE)=CONCATENATE($C$3,"-",C8),VLOOKUP(CONCATENATE($C$3,"-",C8),Languages!$A:$D,Summary!$C$7,TRUE),NA())</f>
        <v>Tietoverkkojen suojaus osana kyberarkkitehtuuria</v>
      </c>
      <c r="F8" s="324"/>
      <c r="H8" s="267" t="str">
        <f ca="1">VLOOKUP(VLOOKUP(CONCATENATE($C$3,"-",$C8),Data!$K:$O,5,FALSE),Parameters!$C$7:$F$10,Summary!$C$7,FALSE)</f>
        <v>Kypsyystaso 0</v>
      </c>
      <c r="I8" s="1213"/>
      <c r="J8" s="1206"/>
      <c r="K8" s="148"/>
      <c r="L8" s="154"/>
      <c r="M8" s="252"/>
      <c r="N8" s="808"/>
      <c r="O8" s="1184"/>
      <c r="P8" s="1184"/>
      <c r="Q8" s="1184"/>
      <c r="R8" s="1184"/>
      <c r="S8" s="1184"/>
      <c r="T8" s="809"/>
      <c r="U8" s="252"/>
    </row>
    <row r="9" spans="1:21" ht="14.4" customHeight="1" x14ac:dyDescent="0.2">
      <c r="A9" s="178"/>
      <c r="B9" s="308"/>
      <c r="C9" s="264">
        <v>3</v>
      </c>
      <c r="D9" s="265" t="s">
        <v>1</v>
      </c>
      <c r="E9" s="266" t="str">
        <f>IF(VLOOKUP(CONCATENATE($C$3,"-",C9),Languages!$A:$D,1,TRUE)=CONCATENATE($C$3,"-",C9),VLOOKUP(CONCATENATE($C$3,"-",C9),Languages!$A:$D,Summary!$C$7,TRUE),NA())</f>
        <v>Laitteiden ja ohjelmistojen turvallisuus osana kyberarkkitehtuuria</v>
      </c>
      <c r="F9" s="325"/>
      <c r="H9" s="267" t="str">
        <f ca="1">VLOOKUP(VLOOKUP(CONCATENATE($C$3,"-",$C9),Data!$K:$O,5,FALSE),Parameters!$C$7:$F$10,Summary!$C$7,FALSE)</f>
        <v>Kypsyystaso 0</v>
      </c>
      <c r="I9" s="465" t="str">
        <f>IF(VLOOKUP("KM111",Languages!$A:$D,1,TRUE)="KM111",VLOOKUP("KM111",Languages!$A:$D,Summary!$C$7,TRUE),NA())</f>
        <v>Osallistujat</v>
      </c>
      <c r="J9" s="439"/>
      <c r="K9" s="148"/>
      <c r="L9" s="154"/>
      <c r="M9" s="252"/>
      <c r="N9" s="808"/>
      <c r="O9" s="1184"/>
      <c r="P9" s="1184"/>
      <c r="Q9" s="1184"/>
      <c r="R9" s="1184"/>
      <c r="S9" s="1184"/>
      <c r="T9" s="809"/>
      <c r="U9" s="252"/>
    </row>
    <row r="10" spans="1:21" ht="14.4" customHeight="1" x14ac:dyDescent="0.2">
      <c r="A10" s="178"/>
      <c r="B10" s="308"/>
      <c r="C10" s="264">
        <v>4</v>
      </c>
      <c r="D10" s="265" t="s">
        <v>1</v>
      </c>
      <c r="E10" s="266" t="str">
        <f>IF(VLOOKUP(CONCATENATE($C$3,"-",C10),Languages!$A:$D,1,TRUE)=CONCATENATE($C$3,"-",C10),VLOOKUP(CONCATENATE($C$3,"-",C10),Languages!$A:$D,Summary!$C$7,TRUE),NA())</f>
        <v>Sovellusturvallisuus osana kyberarkkitehtuuria</v>
      </c>
      <c r="F10" s="1118"/>
      <c r="H10" s="267" t="str">
        <f ca="1">VLOOKUP(VLOOKUP(CONCATENATE($C$3,"-",$C10),Data!$K:$O,5,FALSE),Parameters!$C$7:$F$10,Summary!$C$7,FALSE)</f>
        <v>Kypsyystaso 1</v>
      </c>
      <c r="I10" s="1194"/>
      <c r="J10" s="1195"/>
      <c r="K10" s="148"/>
      <c r="L10" s="154"/>
      <c r="M10" s="252"/>
      <c r="N10" s="808"/>
      <c r="O10" s="1184"/>
      <c r="P10" s="1184"/>
      <c r="Q10" s="1184"/>
      <c r="R10" s="1184"/>
      <c r="S10" s="1184"/>
      <c r="T10" s="809"/>
      <c r="U10" s="252"/>
    </row>
    <row r="11" spans="1:21" ht="14.4" customHeight="1" x14ac:dyDescent="0.2">
      <c r="A11" s="178"/>
      <c r="B11" s="308"/>
      <c r="C11" s="264">
        <v>5</v>
      </c>
      <c r="D11" s="265" t="s">
        <v>1</v>
      </c>
      <c r="E11" s="266" t="str">
        <f>IF(VLOOKUP(CONCATENATE($C$3,"-",C11),Languages!$A:$D,1,TRUE)=CONCATENATE($C$3,"-",C11),VLOOKUP(CONCATENATE($C$3,"-",C11),Languages!$A:$D,Summary!$C$7,TRUE),NA())</f>
        <v>Tietojen suojaus osana kyberarkkitehtuuria</v>
      </c>
      <c r="F11" s="1118"/>
      <c r="H11" s="267" t="str">
        <f ca="1">VLOOKUP(VLOOKUP(CONCATENATE($C$3,"-",$C11),Data!$K:$O,5,FALSE),Parameters!$C$7:$F$10,Summary!$C$7,FALSE)</f>
        <v>Kypsyystaso 0</v>
      </c>
      <c r="I11" s="1196"/>
      <c r="J11" s="1197"/>
      <c r="K11" s="148"/>
      <c r="L11" s="154"/>
      <c r="M11" s="252"/>
      <c r="N11" s="808"/>
      <c r="O11" s="1184"/>
      <c r="P11" s="1184"/>
      <c r="Q11" s="1184"/>
      <c r="R11" s="1184"/>
      <c r="S11" s="1184"/>
      <c r="T11" s="809"/>
      <c r="U11" s="252"/>
    </row>
    <row r="12" spans="1:21" ht="14.4" customHeight="1" x14ac:dyDescent="0.25">
      <c r="A12" s="178"/>
      <c r="B12" s="308"/>
      <c r="C12" s="264">
        <v>6</v>
      </c>
      <c r="D12" s="265" t="s">
        <v>1</v>
      </c>
      <c r="E12" s="266" t="str">
        <f>IF(VLOOKUP(CONCATENATE($C$3,"-",C12),Languages!$A:$D,1,TRUE)=CONCATENATE($C$3,"-",C12),VLOOKUP(CONCATENATE($C$3,"-",C12),Languages!$A:$D,Summary!$C$7,TRUE),NA())</f>
        <v>Yleisiä hallintatoimia</v>
      </c>
      <c r="F12" s="1118"/>
      <c r="H12" s="267" t="str">
        <f ca="1">VLOOKUP(VLOOKUP(CONCATENATE($C$3,"-",$C12),Data!$K:$O,5,FALSE),Parameters!$C$7:$F$10,Summary!$C$7,FALSE)</f>
        <v>Kypsyystaso 1</v>
      </c>
      <c r="I12" s="797"/>
      <c r="J12" s="326"/>
      <c r="K12" s="148"/>
      <c r="L12" s="154"/>
      <c r="M12" s="252"/>
      <c r="N12" s="808"/>
      <c r="O12" s="1184"/>
      <c r="P12" s="1184"/>
      <c r="Q12" s="1184"/>
      <c r="R12" s="1184"/>
      <c r="S12" s="1184"/>
      <c r="T12" s="809"/>
      <c r="U12" s="252"/>
    </row>
    <row r="13" spans="1:21" s="177" customFormat="1" ht="30" customHeight="1" x14ac:dyDescent="0.25">
      <c r="A13" s="166"/>
      <c r="B13" s="269"/>
      <c r="C13" s="170">
        <v>1</v>
      </c>
      <c r="D13" s="170" t="str">
        <f>IF(VLOOKUP(CONCATENATE($C$3,"-",C13),Languages!$A:$D,1,TRUE)=CONCATENATE($C$3,"-",C13),VLOOKUP(CONCATENATE($C$3,"-",C13),Languages!$A:$D,Summary!$C$7,TRUE),NA())</f>
        <v>Kyberarkkitehtuurin kehittäminen</v>
      </c>
      <c r="E13" s="170"/>
      <c r="F13" s="271"/>
      <c r="G13" s="271"/>
      <c r="H13" s="272"/>
      <c r="I13" s="272"/>
      <c r="J13" s="272"/>
      <c r="K13" s="272"/>
      <c r="L13" s="154"/>
      <c r="M13" s="252"/>
      <c r="N13" s="808"/>
      <c r="O13" s="463" t="str">
        <f>IF(VLOOKUP("GEN-ANSWER",Languages!$A:$D,1,TRUE)="GEN-ANSWER",VLOOKUP("GEN-ANSWER",Languages!$A:$D,Summary!$C$7,TRUE),NA())</f>
        <v>Vastaus</v>
      </c>
      <c r="P13" s="463" t="str">
        <f>IF(VLOOKUP("KM112",Languages!$A:$D,1,TRUE)="KM112",VLOOKUP("KM112",Languages!$A:$D,Summary!$C$7,TRUE),NA())</f>
        <v>Kommentit</v>
      </c>
      <c r="Q13" s="463" t="str">
        <f>IF(VLOOKUP("KM113",Languages!$A:$D,1,TRUE)="KM113",VLOOKUP("KM113",Languages!$A:$D,Summary!$C$7,TRUE),NA())</f>
        <v>Sisäinen viittaus</v>
      </c>
      <c r="R13" s="463" t="str">
        <f>IF(VLOOKUP("KM114",Languages!$A:$D,1,TRUE)="KM114",VLOOKUP("KM114",Languages!$A:$D,Summary!$C$7,TRUE),NA())</f>
        <v>Ulkoinen viittaus</v>
      </c>
      <c r="S13" s="463" t="str">
        <f>IF(VLOOKUP("KM115",Languages!$A:$D,1,TRUE)="KM115",VLOOKUP("KM115",Languages!$A:$D,Summary!$C$7,TRUE),NA())</f>
        <v>Kehityskohde</v>
      </c>
      <c r="T13" s="809"/>
      <c r="U13" s="252"/>
    </row>
    <row r="14" spans="1:21" s="278" customFormat="1" ht="84.45" customHeight="1" x14ac:dyDescent="0.2">
      <c r="A14" s="275"/>
      <c r="B14" s="276"/>
      <c r="C14" s="1216" t="str">
        <f>IF(VLOOKUP(CONCATENATE($C$3,"-",$C13,"-0"),Languages!$A:$D,1,TRUE)=CONCATENATE($C$3,"-",$C13,"-0"),VLOOKUP(CONCATENATE($C$3,"-",$C13,"-0"),Languages!$A:$D,Summary!$C$7,TRUE),NA())</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D14" s="1216"/>
      <c r="E14" s="1216"/>
      <c r="F14" s="1216"/>
      <c r="G14" s="1216"/>
      <c r="H14" s="1216"/>
      <c r="I14" s="1216"/>
      <c r="J14" s="1216"/>
      <c r="K14" s="1216"/>
      <c r="L14" s="154"/>
      <c r="M14" s="252"/>
      <c r="N14" s="808"/>
      <c r="O14" s="1202" t="str">
        <f>IF(VLOOKUP(CONCATENATE($C$3,"-",$C13),Import!$C$11:$H$485,2,FALSE)=0,"",VLOOKUP(CONCATENATE($C$3,"-",$C13),Import!$C$11:$H$485,2,FALSE))</f>
        <v/>
      </c>
      <c r="P14" s="1184" t="str">
        <f>IF(VLOOKUP(CONCATENATE($C$3,"-",$C13),Import!$C$11:$H$485,3,FALSE)=0,"",VLOOKUP(CONCATENATE($C$3,"-",$C13),Import!$C$11:$H$485,3,FALSE))</f>
        <v/>
      </c>
      <c r="Q14" s="1184" t="str">
        <f>IF(VLOOKUP(CONCATENATE($C$3,"-",$C13),Import!$C$11:$H$485,4,FALSE)=0,"",VLOOKUP(CONCATENATE($C$3,"-",$C13),Import!$C$11:$H$485,4,FALSE))</f>
        <v/>
      </c>
      <c r="R14" s="1184" t="str">
        <f>IF(VLOOKUP(CONCATENATE($C$3,"-",$C13),Import!$C$11:$H$485,5,FALSE)=0,"",VLOOKUP(CONCATENATE($C$3,"-",$C13),Import!$C$11:$H$485,5,FALSE))</f>
        <v/>
      </c>
      <c r="S14" s="1184" t="str">
        <f>IF(VLOOKUP(CONCATENATE($C$3,"-",$C13),Import!$C$11:$H$485,6,FALSE)=0,"",VLOOKUP(CONCATENATE($C$3,"-",$C13),Import!$C$11:$H$485,6,FALSE))</f>
        <v/>
      </c>
      <c r="T14" s="809"/>
      <c r="U14" s="252"/>
    </row>
    <row r="15" spans="1:21" s="177" customFormat="1" ht="30" customHeight="1" x14ac:dyDescent="0.25">
      <c r="A15" s="166"/>
      <c r="B15" s="269"/>
      <c r="C15" s="170">
        <v>2</v>
      </c>
      <c r="D15" s="170" t="str">
        <f>IF(VLOOKUP(CONCATENATE($C$3,"-",C15),Languages!$A:$D,1,TRUE)=CONCATENATE($C$3,"-",C15),VLOOKUP(CONCATENATE($C$3,"-",C15),Languages!$A:$D,Summary!$C$7,TRUE),NA())</f>
        <v>Tietoverkkojen suojaus osana kyberarkkitehtuuria</v>
      </c>
      <c r="E15" s="170"/>
      <c r="F15" s="292"/>
      <c r="G15" s="292" t="s">
        <v>16</v>
      </c>
      <c r="H15" s="293"/>
      <c r="I15" s="293"/>
      <c r="J15" s="293"/>
      <c r="K15" s="293"/>
      <c r="L15" s="154"/>
      <c r="M15" s="252"/>
      <c r="N15" s="808"/>
      <c r="O15" s="1203"/>
      <c r="P15" s="1185"/>
      <c r="Q15" s="1185"/>
      <c r="R15" s="1185"/>
      <c r="S15" s="1185"/>
      <c r="T15" s="809"/>
      <c r="U15" s="252"/>
    </row>
    <row r="16" spans="1:21" s="278" customFormat="1" ht="30" customHeight="1" x14ac:dyDescent="0.2">
      <c r="A16" s="275"/>
      <c r="B16" s="276"/>
      <c r="C16" s="1216" t="str">
        <f>IF(VLOOKUP(CONCATENATE($C$3,"-",$C15,"-0"),Languages!$A:$D,1,TRUE)=CONCATENATE($C$3,"-",$C15,"-0"),VLOOKUP(CONCATENATE($C$3,"-",$C15,"-0"),Languages!$A:$D,Summary!$C$7,TRUE),NA())</f>
        <v>Verkkojen segmentointi voidaan toteuttaa fyysisellä ja/tai loogisella tasolla ja sen tarkoitus on pienentää hyökkäyspinta-alaa. Optimitilanteessa jokaiselle laitteelle on perusteltu syy sen sijoittamiseen tiettyyn verkkosegmenttiin.</v>
      </c>
      <c r="D16" s="1216"/>
      <c r="E16" s="1216"/>
      <c r="F16" s="1216"/>
      <c r="G16" s="1216"/>
      <c r="H16" s="1216"/>
      <c r="I16" s="1216"/>
      <c r="J16" s="1216"/>
      <c r="K16" s="1216"/>
      <c r="L16" s="154"/>
      <c r="M16" s="252"/>
      <c r="N16" s="808"/>
      <c r="O16" s="1202" t="str">
        <f>IF(VLOOKUP(CONCATENATE($C$3,"-",$C15),Import!$C$11:$H$485,2,FALSE)=0,"",VLOOKUP(CONCATENATE($C$3,"-",$C15),Import!$C$11:$H$485,2,FALSE))</f>
        <v/>
      </c>
      <c r="P16" s="1184" t="str">
        <f>IF(VLOOKUP(CONCATENATE($C$3,"-",$C15),Import!$C$11:$H$485,3,FALSE)=0,"",VLOOKUP(CONCATENATE($C$3,"-",$C15),Import!$C$11:$H$485,3,FALSE))</f>
        <v/>
      </c>
      <c r="Q16" s="1184" t="str">
        <f>IF(VLOOKUP(CONCATENATE($C$3,"-",$C15),Import!$C$11:$H$485,4,FALSE)=0,"",VLOOKUP(CONCATENATE($C$3,"-",$C15),Import!$C$11:$H$485,4,FALSE))</f>
        <v/>
      </c>
      <c r="R16" s="1184" t="str">
        <f>IF(VLOOKUP(CONCATENATE($C$3,"-",$C15),Import!$C$11:$H$485,5,FALSE)=0,"",VLOOKUP(CONCATENATE($C$3,"-",$C15),Import!$C$11:$H$485,5,FALSE))</f>
        <v/>
      </c>
      <c r="S16" s="1184" t="str">
        <f>IF(VLOOKUP(CONCATENATE($C$3,"-",$C15),Import!$C$11:$H$485,6,FALSE)=0,"",VLOOKUP(CONCATENATE($C$3,"-",$C15),Import!$C$11:$H$485,6,FALSE))</f>
        <v/>
      </c>
      <c r="T16" s="809"/>
      <c r="U16" s="252"/>
    </row>
    <row r="17" spans="1:21" s="177" customFormat="1" ht="30" customHeight="1" x14ac:dyDescent="0.25">
      <c r="A17" s="166"/>
      <c r="B17" s="269"/>
      <c r="C17" s="170">
        <v>3</v>
      </c>
      <c r="D17" s="170" t="str">
        <f>IF(VLOOKUP(CONCATENATE($C$3,"-",C17),Languages!$A:$D,1,TRUE)=CONCATENATE($C$3,"-",C17),VLOOKUP(CONCATENATE($C$3,"-",C17),Languages!$A:$D,Summary!$C$7,TRUE),NA())</f>
        <v>Laitteiden ja ohjelmistojen turvallisuus osana kyberarkkitehtuuria</v>
      </c>
      <c r="E17" s="170"/>
      <c r="F17" s="292"/>
      <c r="G17" s="292" t="s">
        <v>16</v>
      </c>
      <c r="H17" s="293"/>
      <c r="I17" s="293"/>
      <c r="J17" s="293"/>
      <c r="K17" s="293"/>
      <c r="L17" s="154"/>
      <c r="M17" s="252"/>
      <c r="N17" s="808"/>
      <c r="O17" s="1203"/>
      <c r="P17" s="1185"/>
      <c r="Q17" s="1185"/>
      <c r="R17" s="1185"/>
      <c r="S17" s="1185"/>
      <c r="T17" s="809"/>
      <c r="U17" s="252"/>
    </row>
    <row r="18" spans="1:21" s="296" customFormat="1" ht="30" customHeight="1" x14ac:dyDescent="0.2">
      <c r="A18" s="305"/>
      <c r="B18" s="1115"/>
      <c r="C18" s="1216" t="str">
        <f>IF(VLOOKUP(CONCATENATE($C$3,"-",$C17,"-0"),Languages!$A:$D,1,TRUE)=CONCATENATE($C$3,"-",$C17,"-0"),VLOOKUP(CONCATENATE($C$3,"-",$C17,"-0"),Languages!$A:$D,Summary!$C$7,TRUE),NA())</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D18" s="1216"/>
      <c r="E18" s="1216"/>
      <c r="F18" s="1216"/>
      <c r="G18" s="1216"/>
      <c r="H18" s="1216"/>
      <c r="I18" s="1216"/>
      <c r="J18" s="1216"/>
      <c r="K18" s="1216"/>
      <c r="L18" s="154"/>
      <c r="M18" s="252"/>
      <c r="N18" s="808"/>
      <c r="O18" s="1202" t="str">
        <f>IF(VLOOKUP(CONCATENATE($C$3,"-",$C17),Import!$C$11:$H$485,2,FALSE)=0,"",VLOOKUP(CONCATENATE($C$3,"-",$C17),Import!$C$11:$H$485,2,FALSE))</f>
        <v/>
      </c>
      <c r="P18" s="1184" t="str">
        <f>IF(VLOOKUP(CONCATENATE($C$3,"-",$C17),Import!$C$11:$H$485,3,FALSE)=0,"",VLOOKUP(CONCATENATE($C$3,"-",$C17),Import!$C$11:$H$485,3,FALSE))</f>
        <v/>
      </c>
      <c r="Q18" s="1184" t="str">
        <f>IF(VLOOKUP(CONCATENATE($C$3,"-",$C17),Import!$C$11:$H$485,4,FALSE)=0,"",VLOOKUP(CONCATENATE($C$3,"-",$C17),Import!$C$11:$H$485,4,FALSE))</f>
        <v/>
      </c>
      <c r="R18" s="1184" t="str">
        <f>IF(VLOOKUP(CONCATENATE($C$3,"-",$C17),Import!$C$11:$H$485,5,FALSE)=0,"",VLOOKUP(CONCATENATE($C$3,"-",$C17),Import!$C$11:$H$485,5,FALSE))</f>
        <v/>
      </c>
      <c r="S18" s="1184" t="str">
        <f>IF(VLOOKUP(CONCATENATE($C$3,"-",$C17),Import!$C$11:$H$485,6,FALSE)=0,"",VLOOKUP(CONCATENATE($C$3,"-",$C17),Import!$C$11:$H$485,6,FALSE))</f>
        <v/>
      </c>
      <c r="T18" s="809"/>
      <c r="U18" s="252"/>
    </row>
    <row r="19" spans="1:21" s="177" customFormat="1" ht="30" customHeight="1" x14ac:dyDescent="0.25">
      <c r="A19" s="166"/>
      <c r="B19" s="269"/>
      <c r="C19" s="170">
        <v>4</v>
      </c>
      <c r="D19" s="170" t="str">
        <f>IF(VLOOKUP(CONCATENATE($C$3,"-",C19),Languages!$A:$D,1,TRUE)=CONCATENATE($C$3,"-",C19),VLOOKUP(CONCATENATE($C$3,"-",C19),Languages!$A:$D,Summary!$C$7,TRUE),NA())</f>
        <v>Sovellusturvallisuus osana kyberarkkitehtuuria</v>
      </c>
      <c r="E19" s="170"/>
      <c r="F19" s="292"/>
      <c r="G19" s="292" t="s">
        <v>16</v>
      </c>
      <c r="H19" s="293"/>
      <c r="I19" s="293"/>
      <c r="J19" s="293"/>
      <c r="K19" s="293"/>
      <c r="L19" s="154"/>
      <c r="M19" s="252"/>
      <c r="N19" s="808"/>
      <c r="O19" s="1203"/>
      <c r="P19" s="1185"/>
      <c r="Q19" s="1185"/>
      <c r="R19" s="1185"/>
      <c r="S19" s="1185"/>
      <c r="T19" s="809"/>
      <c r="U19" s="252"/>
    </row>
    <row r="20" spans="1:21" s="296" customFormat="1" ht="30" customHeight="1" x14ac:dyDescent="0.2">
      <c r="A20" s="305"/>
      <c r="B20" s="1115"/>
      <c r="C20" s="1216" t="str">
        <f>IF(VLOOKUP(CONCATENATE($C$3,"-",$C19,"-0"),Languages!$A:$D,1,TRUE)=CONCATENATE($C$3,"-",$C19,"-0"),VLOOKUP(CONCATENATE($C$3,"-",$C19,"-0"),Languages!$A:$D,Summary!$C$7,TRUE),NA())</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D20" s="1216"/>
      <c r="E20" s="1216"/>
      <c r="F20" s="1216"/>
      <c r="G20" s="1216"/>
      <c r="H20" s="1216"/>
      <c r="I20" s="1216"/>
      <c r="J20" s="1216"/>
      <c r="K20" s="1216"/>
      <c r="L20" s="154"/>
      <c r="M20" s="252"/>
      <c r="N20" s="808"/>
      <c r="O20" s="1202" t="str">
        <f>IF(VLOOKUP(CONCATENATE($C$3,"-",$C19),Import!$C$11:$H$485,2,FALSE)=0,"",VLOOKUP(CONCATENATE($C$3,"-",$C19),Import!$C$11:$H$485,2,FALSE))</f>
        <v/>
      </c>
      <c r="P20" s="1184" t="str">
        <f>IF(VLOOKUP(CONCATENATE($C$3,"-",$C19),Import!$C$11:$H$485,3,FALSE)=0,"",VLOOKUP(CONCATENATE($C$3,"-",$C19),Import!$C$11:$H$485,3,FALSE))</f>
        <v/>
      </c>
      <c r="Q20" s="1184" t="str">
        <f>IF(VLOOKUP(CONCATENATE($C$3,"-",$C19),Import!$C$11:$H$485,4,FALSE)=0,"",VLOOKUP(CONCATENATE($C$3,"-",$C19),Import!$C$11:$H$485,4,FALSE))</f>
        <v/>
      </c>
      <c r="R20" s="1184" t="str">
        <f>IF(VLOOKUP(CONCATENATE($C$3,"-",$C19),Import!$C$11:$H$485,5,FALSE)=0,"",VLOOKUP(CONCATENATE($C$3,"-",$C19),Import!$C$11:$H$485,5,FALSE))</f>
        <v/>
      </c>
      <c r="S20" s="1184" t="str">
        <f>IF(VLOOKUP(CONCATENATE($C$3,"-",$C19),Import!$C$11:$H$485,6,FALSE)=0,"",VLOOKUP(CONCATENATE($C$3,"-",$C19),Import!$C$11:$H$485,6,FALSE))</f>
        <v/>
      </c>
      <c r="T20" s="809"/>
      <c r="U20" s="252"/>
    </row>
    <row r="21" spans="1:21" s="177" customFormat="1" ht="30" customHeight="1" x14ac:dyDescent="0.25">
      <c r="A21" s="166"/>
      <c r="B21" s="269"/>
      <c r="C21" s="170">
        <v>5</v>
      </c>
      <c r="D21" s="170" t="str">
        <f>IF(VLOOKUP(CONCATENATE($C$3,"-",C21),Languages!$A:$D,1,TRUE)=CONCATENATE($C$3,"-",C21),VLOOKUP(CONCATENATE($C$3,"-",C21),Languages!$A:$D,Summary!$C$7,TRUE),NA())</f>
        <v>Tietojen suojaus osana kyberarkkitehtuuria</v>
      </c>
      <c r="E21" s="170"/>
      <c r="F21" s="292"/>
      <c r="G21" s="292" t="s">
        <v>16</v>
      </c>
      <c r="H21" s="293"/>
      <c r="I21" s="293"/>
      <c r="J21" s="293"/>
      <c r="K21" s="293"/>
      <c r="L21" s="154"/>
      <c r="M21" s="252"/>
      <c r="N21" s="808"/>
      <c r="O21" s="1203"/>
      <c r="P21" s="1185"/>
      <c r="Q21" s="1185"/>
      <c r="R21" s="1185"/>
      <c r="S21" s="1185"/>
      <c r="T21" s="809"/>
      <c r="U21" s="252"/>
    </row>
    <row r="22" spans="1:21" s="296" customFormat="1" ht="30" customHeight="1" x14ac:dyDescent="0.2">
      <c r="A22" s="305"/>
      <c r="B22" s="1115"/>
      <c r="C22" s="1216" t="str">
        <f>IF(VLOOKUP(CONCATENATE($C$3,"-",$C21,"-0"),Languages!$A:$D,1,TRUE)=CONCATENATE($C$3,"-",$C21,"-0"),VLOOKUP(CONCATENATE($C$3,"-",$C21,"-0"),Languages!$A:$D,Summary!$C$7,TRUE),NA())</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D22" s="1216"/>
      <c r="E22" s="1216"/>
      <c r="F22" s="1216"/>
      <c r="G22" s="1216"/>
      <c r="H22" s="1216"/>
      <c r="I22" s="1216"/>
      <c r="J22" s="1216"/>
      <c r="K22" s="1216"/>
      <c r="L22" s="154"/>
      <c r="M22" s="252"/>
      <c r="N22" s="808"/>
      <c r="O22" s="1202" t="str">
        <f>IF(VLOOKUP(CONCATENATE($C$3,"-",$C21),Import!$C$11:$H$485,2,FALSE)=0,"",VLOOKUP(CONCATENATE($C$3,"-",$C21),Import!$C$11:$H$485,2,FALSE))</f>
        <v/>
      </c>
      <c r="P22" s="1184" t="str">
        <f>IF(VLOOKUP(CONCATENATE($C$3,"-",$C21),Import!$C$11:$H$485,3,FALSE)=0,"",VLOOKUP(CONCATENATE($C$3,"-",$C21),Import!$C$11:$H$485,3,FALSE))</f>
        <v/>
      </c>
      <c r="Q22" s="1184" t="str">
        <f>IF(VLOOKUP(CONCATENATE($C$3,"-",$C21),Import!$C$11:$H$485,4,FALSE)=0,"",VLOOKUP(CONCATENATE($C$3,"-",$C21),Import!$C$11:$H$485,4,FALSE))</f>
        <v/>
      </c>
      <c r="R22" s="1184" t="str">
        <f>IF(VLOOKUP(CONCATENATE($C$3,"-",$C21),Import!$C$11:$H$485,5,FALSE)=0,"",VLOOKUP(CONCATENATE($C$3,"-",$C21),Import!$C$11:$H$485,5,FALSE))</f>
        <v/>
      </c>
      <c r="S22" s="1184" t="str">
        <f>IF(VLOOKUP(CONCATENATE($C$3,"-",$C21),Import!$C$11:$H$485,6,FALSE)=0,"",VLOOKUP(CONCATENATE($C$3,"-",$C21),Import!$C$11:$H$485,6,FALSE))</f>
        <v/>
      </c>
      <c r="T22" s="809"/>
      <c r="U22" s="252"/>
    </row>
    <row r="23" spans="1:21" s="177" customFormat="1" ht="30" customHeight="1" x14ac:dyDescent="0.25">
      <c r="A23" s="166"/>
      <c r="B23" s="269"/>
      <c r="C23" s="170">
        <v>6</v>
      </c>
      <c r="D23" s="170" t="str">
        <f>IF(VLOOKUP(CONCATENATE($C$3,"-",C23),Languages!$A:$D,1,TRUE)=CONCATENATE($C$3,"-",C23),VLOOKUP(CONCATENATE($C$3,"-",C23),Languages!$A:$D,Summary!$C$7,TRUE),NA())</f>
        <v>Yleisiä hallintatoimia</v>
      </c>
      <c r="E23" s="170"/>
      <c r="F23" s="292"/>
      <c r="G23" s="292" t="s">
        <v>16</v>
      </c>
      <c r="H23" s="293"/>
      <c r="I23" s="293"/>
      <c r="J23" s="293"/>
      <c r="K23" s="293"/>
      <c r="L23" s="154"/>
      <c r="M23" s="252"/>
      <c r="N23" s="808"/>
      <c r="O23" s="1203"/>
      <c r="P23" s="1185"/>
      <c r="Q23" s="1185"/>
      <c r="R23" s="1185"/>
      <c r="S23" s="1185"/>
      <c r="T23" s="809"/>
      <c r="U23" s="252"/>
    </row>
    <row r="24" spans="1:21" s="278" customFormat="1" ht="49.8" customHeight="1" x14ac:dyDescent="0.2">
      <c r="A24" s="305"/>
      <c r="B24" s="306"/>
      <c r="C24" s="1216" t="str">
        <f>IF(VLOOKUP(CONCATENATE($C$3,"-",$C23,"-0"),Languages!$A:$D,1,TRUE)=CONCATENATE($C$3,"-",$C23,"-0"),VLOOKUP(CONCATENATE($C$3,"-",$C23,"-0"),Languages!$A:$D,Summary!$C$7,TRUE),NA())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4" s="1216"/>
      <c r="E24" s="1216"/>
      <c r="F24" s="1216"/>
      <c r="G24" s="1216"/>
      <c r="H24" s="1216"/>
      <c r="I24" s="1216"/>
      <c r="J24" s="1216"/>
      <c r="K24" s="1216"/>
      <c r="L24" s="154"/>
      <c r="M24" s="252"/>
      <c r="N24" s="808"/>
      <c r="O24" s="1202" t="str">
        <f>IF(VLOOKUP(CONCATENATE($C$3,"-",$C23),Import!$C$11:$H$485,2,FALSE)=0,"",VLOOKUP(CONCATENATE($C$3,"-",$C23),Import!$C$11:$H$485,2,FALSE))</f>
        <v/>
      </c>
      <c r="P24" s="1184" t="str">
        <f>IF(VLOOKUP(CONCATENATE($C$3,"-",$C23),Import!$C$11:$H$485,3,FALSE)=0,"",VLOOKUP(CONCATENATE($C$3,"-",$C23),Import!$C$11:$H$485,3,FALSE))</f>
        <v/>
      </c>
      <c r="Q24" s="1184" t="str">
        <f>IF(VLOOKUP(CONCATENATE($C$3,"-",$C23),Import!$C$11:$H$485,4,FALSE)=0,"",VLOOKUP(CONCATENATE($C$3,"-",$C23),Import!$C$11:$H$485,4,FALSE))</f>
        <v/>
      </c>
      <c r="R24" s="1184" t="str">
        <f>IF(VLOOKUP(CONCATENATE($C$3,"-",$C23),Import!$C$11:$H$485,5,FALSE)=0,"",VLOOKUP(CONCATENATE($C$3,"-",$C23),Import!$C$11:$H$485,5,FALSE))</f>
        <v/>
      </c>
      <c r="S24" s="1184" t="str">
        <f>IF(VLOOKUP(CONCATENATE($C$3,"-",$C23),Import!$C$11:$H$485,6,FALSE)=0,"",VLOOKUP(CONCATENATE($C$3,"-",$C23),Import!$C$11:$H$485,6,FALSE))</f>
        <v/>
      </c>
      <c r="T24" s="809"/>
      <c r="U24" s="252"/>
    </row>
    <row r="25" spans="1:21" s="278" customFormat="1" ht="20.399999999999999" customHeight="1" x14ac:dyDescent="0.2">
      <c r="A25" s="305"/>
      <c r="B25" s="306"/>
      <c r="C25" s="1116"/>
      <c r="D25" s="1116"/>
      <c r="E25" s="1116"/>
      <c r="F25" s="1116"/>
      <c r="G25" s="1116"/>
      <c r="H25" s="1116"/>
      <c r="I25" s="1116"/>
      <c r="J25" s="1116"/>
      <c r="K25" s="1116"/>
      <c r="L25" s="154"/>
      <c r="M25" s="252"/>
      <c r="N25" s="1125"/>
      <c r="O25" s="1203"/>
      <c r="P25" s="1185"/>
      <c r="Q25" s="1185"/>
      <c r="R25" s="1185"/>
      <c r="S25" s="1185"/>
      <c r="T25" s="1125"/>
      <c r="U25" s="252"/>
    </row>
    <row r="26" spans="1:21" s="278" customFormat="1" ht="20.399999999999999" customHeight="1" x14ac:dyDescent="0.2">
      <c r="A26" s="305"/>
      <c r="B26" s="1121"/>
      <c r="C26" s="1122"/>
      <c r="D26" s="1122"/>
      <c r="E26" s="1122"/>
      <c r="F26" s="1122"/>
      <c r="G26" s="1122"/>
      <c r="H26" s="1122"/>
      <c r="I26" s="1122"/>
      <c r="J26" s="1122"/>
      <c r="K26" s="1122"/>
      <c r="L26" s="1123"/>
      <c r="M26" s="252"/>
      <c r="N26" s="810"/>
      <c r="O26" s="1114"/>
      <c r="P26" s="1114"/>
      <c r="Q26" s="1114"/>
      <c r="R26" s="1114"/>
      <c r="S26" s="1114"/>
      <c r="T26" s="811"/>
      <c r="U26" s="252"/>
    </row>
    <row r="27" spans="1:21" s="278" customFormat="1" ht="18" customHeight="1" x14ac:dyDescent="0.25">
      <c r="A27" s="305"/>
      <c r="B27" s="655"/>
      <c r="C27" s="655"/>
      <c r="D27" s="655"/>
      <c r="E27" s="655"/>
      <c r="F27" s="655"/>
      <c r="G27" s="655"/>
      <c r="H27" s="655"/>
      <c r="I27" s="655"/>
      <c r="J27" s="655"/>
      <c r="K27" s="655"/>
      <c r="L27" s="656"/>
      <c r="M27" s="135"/>
      <c r="N27" s="135"/>
      <c r="O27" s="251"/>
      <c r="P27" s="250"/>
      <c r="Q27" s="771"/>
      <c r="R27" s="250"/>
      <c r="S27" s="250"/>
      <c r="T27" s="135"/>
      <c r="U27" s="135"/>
    </row>
    <row r="28" spans="1:21" s="278" customFormat="1" ht="19.95" customHeight="1" x14ac:dyDescent="0.2">
      <c r="A28" s="305"/>
      <c r="B28" s="649"/>
      <c r="C28" s="647"/>
      <c r="D28" s="647"/>
      <c r="E28" s="647"/>
      <c r="F28" s="647"/>
      <c r="G28" s="647"/>
      <c r="H28" s="647"/>
      <c r="I28" s="647"/>
      <c r="J28" s="647"/>
      <c r="K28" s="647"/>
      <c r="L28" s="648"/>
      <c r="M28" s="252"/>
      <c r="N28" s="464" t="str">
        <f>IF(VLOOKUP("KM116",Languages!$A:$D,1,TRUE)="KM116",VLOOKUP("KM116",Languages!$A:$D,Summary!$C$7,TRUE),NA())</f>
        <v>EDELLINEN ARVIOINTI</v>
      </c>
      <c r="O28" s="430"/>
      <c r="P28" s="255"/>
      <c r="Q28" s="772" t="str">
        <f>IF(VLOOKUP("KM110",Languages!$A:$D,1,TRUE)="KM110",VLOOKUP("KM110",Languages!$A:$D,Summary!$C$7,TRUE),NA())</f>
        <v>Päivämäärä</v>
      </c>
      <c r="R28" s="255"/>
      <c r="S28" s="255"/>
      <c r="T28" s="147"/>
      <c r="U28" s="252"/>
    </row>
    <row r="29" spans="1:21" s="177" customFormat="1" ht="19.95" customHeight="1" x14ac:dyDescent="0.25">
      <c r="A29" s="166"/>
      <c r="B29" s="269"/>
      <c r="C29" s="170">
        <v>1</v>
      </c>
      <c r="D29" s="170" t="str">
        <f>IF(VLOOKUP(CONCATENATE($C$3,"-",C29),Languages!$A:$D,1,TRUE)=CONCATENATE($C$3,"-",C29),VLOOKUP(CONCATENATE($C$3,"-",C29),Languages!$A:$D,Summary!$C$7,TRUE),NA())</f>
        <v>Kyberarkkitehtuurin kehittäminen</v>
      </c>
      <c r="E29" s="170"/>
      <c r="F29" s="271"/>
      <c r="G29" s="271"/>
      <c r="H29" s="272"/>
      <c r="I29" s="272"/>
      <c r="J29" s="272"/>
      <c r="K29" s="272"/>
      <c r="L29" s="154"/>
      <c r="M29" s="305"/>
      <c r="N29" s="306"/>
      <c r="O29" s="431"/>
      <c r="P29" s="426"/>
      <c r="Q29" s="697"/>
      <c r="R29" s="770"/>
      <c r="S29" s="770"/>
      <c r="T29" s="277"/>
      <c r="U29" s="305"/>
    </row>
    <row r="30" spans="1:21" s="285" customFormat="1" ht="19.95" customHeight="1" x14ac:dyDescent="0.2">
      <c r="A30" s="304"/>
      <c r="B30" s="279"/>
      <c r="C30" s="280" t="str">
        <f>IF(VLOOKUP("GEN-LEVEL",Languages!$A:$D,1,TRUE)="GEN-LEVEL",VLOOKUP("GEN-LEVEL",Languages!$A:$D,Summary!$C$7,TRUE),NA())</f>
        <v>Taso</v>
      </c>
      <c r="D30" s="280"/>
      <c r="E30" s="281" t="str">
        <f>IF(VLOOKUP("GEN-PRACTICE",Languages!$A:$D,1,TRUE)="GEN-PRACTICE",VLOOKUP("GEN-PRACTICE",Languages!$A:$D,Summary!$C$7,TRUE),NA())</f>
        <v>Käytäntö</v>
      </c>
      <c r="F30" s="282"/>
      <c r="G30" s="904" t="str">
        <f>IF(VLOOKUP("GEN-ANSWER",Languages!$A:$D,1,TRUE)="GEN-ANSWER",VLOOKUP("GEN-ANSWER",Languages!$A:$D,Summary!$C$7,TRUE),NA())</f>
        <v>Vastaus</v>
      </c>
      <c r="H30" s="905" t="str">
        <f>IF(VLOOKUP("KM112",Languages!$A:$D,1,TRUE)="KM112",VLOOKUP("KM112",Languages!$A:$D,Summary!$C$7,TRUE),NA())</f>
        <v>Kommentit</v>
      </c>
      <c r="I30" s="905" t="str">
        <f>IF(VLOOKUP("KM113",Languages!$A:$D,1,TRUE)="KM113",VLOOKUP("KM113",Languages!$A:$D,Summary!$C$7,TRUE),NA())</f>
        <v>Sisäinen viittaus</v>
      </c>
      <c r="J30" s="905" t="str">
        <f>IF(VLOOKUP("KM114",Languages!$A:$D,1,TRUE)="KM114",VLOOKUP("KM114",Languages!$A:$D,Summary!$C$7,TRUE),NA())</f>
        <v>Ulkoinen viittaus</v>
      </c>
      <c r="K30" s="905" t="str">
        <f>IF(VLOOKUP("KM115",Languages!$A:$D,1,TRUE)="KM115",VLOOKUP("KM115",Languages!$A:$D,Summary!$C$7,TRUE),NA())</f>
        <v>Kehityskohde</v>
      </c>
      <c r="L30" s="283"/>
      <c r="M30" s="284"/>
      <c r="N30" s="279"/>
      <c r="O30" s="463" t="str">
        <f>IF(VLOOKUP("GEN-ANSWER",Languages!$A:$D,1,TRUE)="GEN-ANSWER",VLOOKUP("GEN-ANSWER",Languages!$A:$D,Summary!$C$7,TRUE),NA())</f>
        <v>Vastaus</v>
      </c>
      <c r="P30" s="463" t="str">
        <f>IF(VLOOKUP("KM112",Languages!$A:$D,1,TRUE)="KM112",VLOOKUP("KM112",Languages!$A:$D,Summary!$C$7,TRUE),NA())</f>
        <v>Kommentit</v>
      </c>
      <c r="Q30" s="463" t="str">
        <f>IF(VLOOKUP("KM113",Languages!$A:$D,1,TRUE)="KM113",VLOOKUP("KM113",Languages!$A:$D,Summary!$C$7,TRUE),NA())</f>
        <v>Sisäinen viittaus</v>
      </c>
      <c r="R30" s="463" t="str">
        <f>IF(VLOOKUP("KM114",Languages!$A:$D,1,TRUE)="KM114",VLOOKUP("KM114",Languages!$A:$D,Summary!$C$7,TRUE),NA())</f>
        <v>Ulkoinen viittaus</v>
      </c>
      <c r="S30" s="463" t="str">
        <f>IF(VLOOKUP("KM115",Languages!$A:$D,1,TRUE)="KM115",VLOOKUP("KM115",Languages!$A:$D,Summary!$C$7,TRUE),NA())</f>
        <v>Kehityskohde</v>
      </c>
      <c r="T30" s="283"/>
      <c r="U30" s="284"/>
    </row>
    <row r="31" spans="1:21" s="289" customFormat="1" ht="67.2" customHeight="1" x14ac:dyDescent="0.2">
      <c r="A31" s="275"/>
      <c r="B31" s="415"/>
      <c r="C31" s="521">
        <v>1</v>
      </c>
      <c r="D31" s="390" t="s">
        <v>5</v>
      </c>
      <c r="E31" s="466" t="str">
        <f>IF(VLOOKUP(CONCATENATE($C$3,"-",$D31),Languages!$A:$D,1,TRUE)=CONCATENATE($C$3,"-",$D31),VLOOKUP(CONCATENATE($C$3,"-",$D31),Languages!$A:$D,Summary!$C$7,TRUE),NA())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F31" s="391">
        <f t="shared" ref="F31:F41" si="0">IFERROR(INT(LEFT($G31,1)),0)</f>
        <v>0</v>
      </c>
      <c r="G31" s="456" t="s">
        <v>2542</v>
      </c>
      <c r="H31" s="486"/>
      <c r="I31" s="486"/>
      <c r="J31" s="486"/>
      <c r="K31" s="487"/>
      <c r="L31" s="154"/>
      <c r="M31" s="252"/>
      <c r="N31" s="149"/>
      <c r="O31" s="886" t="str">
        <f>VLOOKUP(VLOOKUP($C$3&amp;"-"&amp;$D31,Import!$C:$D,2,FALSE),Parameters!$C$18:$F$22,Summary!$C$7,FALSE)</f>
        <v xml:space="preserve">0 - Vastaus puuttuu </v>
      </c>
      <c r="P31" s="911" t="str">
        <f>IF(VLOOKUP($C$3&amp;"-"&amp;$D31,Import!$C:$H,3,FALSE)=0,"",VLOOKUP($C$3&amp;"-"&amp;$D31,Import!$C:$H,3,FALSE))</f>
        <v/>
      </c>
      <c r="Q31" s="911" t="str">
        <f>IF(VLOOKUP($C$3&amp;"-"&amp;$D31,Import!$C:$H,4,FALSE)=0,"",VLOOKUP($C$3&amp;"-"&amp;$D31,Import!$C:$H,4,FALSE))</f>
        <v/>
      </c>
      <c r="R31" s="911" t="str">
        <f>IF(VLOOKUP($C$3&amp;"-"&amp;$D31,Import!$C:$H,5,FALSE)=0,"",VLOOKUP($C$3&amp;"-"&amp;$D31,Import!$C:$H,5,FALSE))</f>
        <v/>
      </c>
      <c r="S31" s="912" t="str">
        <f>IF(VLOOKUP($C$3&amp;"-"&amp;$D31,Import!$C:$H,6,FALSE)=0,"",VLOOKUP($C$3&amp;"-"&amp;$D31,Import!$C:$H,6,FALSE))</f>
        <v/>
      </c>
      <c r="T31" s="154"/>
      <c r="U31" s="252"/>
    </row>
    <row r="32" spans="1:21" s="289" customFormat="1" ht="81.599999999999994" customHeight="1" x14ac:dyDescent="0.2">
      <c r="A32" s="275"/>
      <c r="B32" s="415"/>
      <c r="C32" s="1217">
        <v>2</v>
      </c>
      <c r="D32" s="387" t="s">
        <v>7</v>
      </c>
      <c r="E32" s="467" t="str">
        <f>IF(VLOOKUP(CONCATENATE($C$3,"-",$D32),Languages!$A:$D,1,TRUE)=CONCATENATE($C$3,"-",$D32),VLOOKUP(CONCATENATE($C$3,"-",$D32),Languages!$A:$D,Summary!$C$7,TRUE),NA())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32" s="386">
        <f t="shared" si="0"/>
        <v>0</v>
      </c>
      <c r="G32" s="445" t="s">
        <v>2542</v>
      </c>
      <c r="H32" s="446"/>
      <c r="I32" s="446"/>
      <c r="J32" s="446"/>
      <c r="K32" s="447"/>
      <c r="L32" s="154"/>
      <c r="M32" s="252"/>
      <c r="N32" s="149"/>
      <c r="O32" s="889" t="str">
        <f>VLOOKUP(VLOOKUP($C$3&amp;"-"&amp;$D32,Import!$C:$D,2,FALSE),Parameters!$C$18:$F$22,Summary!$C$7,FALSE)</f>
        <v xml:space="preserve">0 - Vastaus puuttuu </v>
      </c>
      <c r="P32" s="931" t="str">
        <f>IF(VLOOKUP($C$3&amp;"-"&amp;$D32,Import!$C:$H,3,FALSE)=0,"",VLOOKUP($C$3&amp;"-"&amp;$D32,Import!$C:$H,3,FALSE))</f>
        <v/>
      </c>
      <c r="Q32" s="931" t="str">
        <f>IF(VLOOKUP($C$3&amp;"-"&amp;$D32,Import!$C:$H,4,FALSE)=0,"",VLOOKUP($C$3&amp;"-"&amp;$D32,Import!$C:$H,4,FALSE))</f>
        <v/>
      </c>
      <c r="R32" s="931" t="str">
        <f>IF(VLOOKUP($C$3&amp;"-"&amp;$D32,Import!$C:$H,5,FALSE)=0,"",VLOOKUP($C$3&amp;"-"&amp;$D32,Import!$C:$H,5,FALSE))</f>
        <v/>
      </c>
      <c r="S32" s="932" t="str">
        <f>IF(VLOOKUP($C$3&amp;"-"&amp;$D32,Import!$C:$H,6,FALSE)=0,"",VLOOKUP($C$3&amp;"-"&amp;$D32,Import!$C:$H,6,FALSE))</f>
        <v/>
      </c>
      <c r="T32" s="154"/>
      <c r="U32" s="252"/>
    </row>
    <row r="33" spans="1:21" s="289" customFormat="1" ht="60" customHeight="1" x14ac:dyDescent="0.2">
      <c r="A33" s="275"/>
      <c r="B33" s="415"/>
      <c r="C33" s="1218"/>
      <c r="D33" s="286" t="s">
        <v>8</v>
      </c>
      <c r="E33" s="468" t="str">
        <f>IF(VLOOKUP(CONCATENATE($C$3,"-",$D33),Languages!$A:$D,1,TRUE)=CONCATENATE($C$3,"-",$D33),VLOOKUP(CONCATENATE($C$3,"-",$D33),Languages!$A:$D,Summary!$C$7,TRUE),NA())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F33" s="287">
        <f t="shared" si="0"/>
        <v>0</v>
      </c>
      <c r="G33" s="307" t="s">
        <v>2542</v>
      </c>
      <c r="H33" s="440"/>
      <c r="I33" s="440"/>
      <c r="J33" s="440"/>
      <c r="K33" s="448"/>
      <c r="L33" s="154"/>
      <c r="M33" s="252"/>
      <c r="N33" s="149"/>
      <c r="O33" s="892" t="str">
        <f>VLOOKUP(VLOOKUP($C$3&amp;"-"&amp;$D33,Import!$C:$D,2,FALSE),Parameters!$C$18:$F$22,Summary!$C$7,FALSE)</f>
        <v xml:space="preserve">0 - Vastaus puuttuu </v>
      </c>
      <c r="P33" s="914" t="str">
        <f>IF(VLOOKUP($C$3&amp;"-"&amp;$D33,Import!$C:$H,3,FALSE)=0,"",VLOOKUP($C$3&amp;"-"&amp;$D33,Import!$C:$H,3,FALSE))</f>
        <v/>
      </c>
      <c r="Q33" s="914" t="str">
        <f>IF(VLOOKUP($C$3&amp;"-"&amp;$D33,Import!$C:$H,4,FALSE)=0,"",VLOOKUP($C$3&amp;"-"&amp;$D33,Import!$C:$H,4,FALSE))</f>
        <v/>
      </c>
      <c r="R33" s="914" t="str">
        <f>IF(VLOOKUP($C$3&amp;"-"&amp;$D33,Import!$C:$H,5,FALSE)=0,"",VLOOKUP($C$3&amp;"-"&amp;$D33,Import!$C:$H,5,FALSE))</f>
        <v/>
      </c>
      <c r="S33" s="915" t="str">
        <f>IF(VLOOKUP($C$3&amp;"-"&amp;$D33,Import!$C:$H,6,FALSE)=0,"",VLOOKUP($C$3&amp;"-"&amp;$D33,Import!$C:$H,6,FALSE))</f>
        <v/>
      </c>
      <c r="T33" s="154"/>
      <c r="U33" s="252"/>
    </row>
    <row r="34" spans="1:21" s="289" customFormat="1" ht="72.599999999999994" customHeight="1" x14ac:dyDescent="0.2">
      <c r="A34" s="275"/>
      <c r="B34" s="415"/>
      <c r="C34" s="1218"/>
      <c r="D34" s="286" t="s">
        <v>9</v>
      </c>
      <c r="E34" s="469" t="str">
        <f>IF(VLOOKUP(CONCATENATE($C$3,"-",$D34),Languages!$A:$D,1,TRUE)=CONCATENATE($C$3,"-",$D34),VLOOKUP(CONCATENATE($C$3,"-",$D34),Languages!$A:$D,Summary!$C$7,TRUE),NA())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F34" s="287">
        <f t="shared" si="0"/>
        <v>0</v>
      </c>
      <c r="G34" s="307" t="s">
        <v>2542</v>
      </c>
      <c r="H34" s="440"/>
      <c r="I34" s="440"/>
      <c r="J34" s="440"/>
      <c r="K34" s="448"/>
      <c r="L34" s="154"/>
      <c r="M34" s="252"/>
      <c r="N34" s="149"/>
      <c r="O34" s="892" t="str">
        <f>VLOOKUP(VLOOKUP($C$3&amp;"-"&amp;$D34,Import!$C:$D,2,FALSE),Parameters!$C$18:$F$22,Summary!$C$7,FALSE)</f>
        <v xml:space="preserve">0 - Vastaus puuttuu </v>
      </c>
      <c r="P34" s="914" t="str">
        <f>IF(VLOOKUP($C$3&amp;"-"&amp;$D34,Import!$C:$H,3,FALSE)=0,"",VLOOKUP($C$3&amp;"-"&amp;$D34,Import!$C:$H,3,FALSE))</f>
        <v/>
      </c>
      <c r="Q34" s="914" t="str">
        <f>IF(VLOOKUP($C$3&amp;"-"&amp;$D34,Import!$C:$H,4,FALSE)=0,"",VLOOKUP($C$3&amp;"-"&amp;$D34,Import!$C:$H,4,FALSE))</f>
        <v/>
      </c>
      <c r="R34" s="914" t="str">
        <f>IF(VLOOKUP($C$3&amp;"-"&amp;$D34,Import!$C:$H,5,FALSE)=0,"",VLOOKUP($C$3&amp;"-"&amp;$D34,Import!$C:$H,5,FALSE))</f>
        <v/>
      </c>
      <c r="S34" s="915" t="str">
        <f>IF(VLOOKUP($C$3&amp;"-"&amp;$D34,Import!$C:$H,6,FALSE)=0,"",VLOOKUP($C$3&amp;"-"&amp;$D34,Import!$C:$H,6,FALSE))</f>
        <v/>
      </c>
      <c r="T34" s="154"/>
      <c r="U34" s="252"/>
    </row>
    <row r="35" spans="1:21" s="289" customFormat="1" ht="43.2" customHeight="1" x14ac:dyDescent="0.2">
      <c r="A35" s="275"/>
      <c r="B35" s="415"/>
      <c r="C35" s="1218"/>
      <c r="D35" s="290" t="s">
        <v>10</v>
      </c>
      <c r="E35" s="469" t="str">
        <f>IF(VLOOKUP(CONCATENATE($C$3,"-",$D35),Languages!$A:$D,1,TRUE)=CONCATENATE($C$3,"-",$D35),VLOOKUP(CONCATENATE($C$3,"-",$D35),Languages!$A:$D,Summary!$C$7,TRUE),NA())</f>
        <v xml:space="preserve">Organisaation johto tukee aktiivisesti ja näkyvästi organisaation kyberarkkitehtuuria (ja sen kehitystä). </v>
      </c>
      <c r="F35" s="287">
        <f t="shared" si="0"/>
        <v>0</v>
      </c>
      <c r="G35" s="307" t="s">
        <v>2542</v>
      </c>
      <c r="H35" s="443"/>
      <c r="I35" s="443"/>
      <c r="J35" s="443"/>
      <c r="K35" s="452"/>
      <c r="L35" s="154"/>
      <c r="M35" s="252"/>
      <c r="N35" s="149"/>
      <c r="O35" s="892" t="str">
        <f>VLOOKUP(VLOOKUP($C$3&amp;"-"&amp;$D35,Import!$C:$D,2,FALSE),Parameters!$C$18:$F$22,Summary!$C$7,FALSE)</f>
        <v xml:space="preserve">0 - Vastaus puuttuu </v>
      </c>
      <c r="P35" s="916" t="str">
        <f>IF(VLOOKUP($C$3&amp;"-"&amp;$D35,Import!$C:$H,3,FALSE)=0,"",VLOOKUP($C$3&amp;"-"&amp;$D35,Import!$C:$H,3,FALSE))</f>
        <v/>
      </c>
      <c r="Q35" s="916" t="str">
        <f>IF(VLOOKUP($C$3&amp;"-"&amp;$D35,Import!$C:$H,4,FALSE)=0,"",VLOOKUP($C$3&amp;"-"&amp;$D35,Import!$C:$H,4,FALSE))</f>
        <v/>
      </c>
      <c r="R35" s="916" t="str">
        <f>IF(VLOOKUP($C$3&amp;"-"&amp;$D35,Import!$C:$H,5,FALSE)=0,"",VLOOKUP($C$3&amp;"-"&amp;$D35,Import!$C:$H,5,FALSE))</f>
        <v/>
      </c>
      <c r="S35" s="917" t="str">
        <f>IF(VLOOKUP($C$3&amp;"-"&amp;$D35,Import!$C:$H,6,FALSE)=0,"",VLOOKUP($C$3&amp;"-"&amp;$D35,Import!$C:$H,6,FALSE))</f>
        <v/>
      </c>
      <c r="T35" s="154"/>
      <c r="U35" s="252"/>
    </row>
    <row r="36" spans="1:21" s="289" customFormat="1" ht="34.950000000000003" customHeight="1" x14ac:dyDescent="0.2">
      <c r="A36" s="275"/>
      <c r="B36" s="415"/>
      <c r="C36" s="1218"/>
      <c r="D36" s="388" t="s">
        <v>11</v>
      </c>
      <c r="E36" s="470" t="str">
        <f>IF(VLOOKUP(CONCATENATE($C$3,"-",$D36),Languages!$A:$D,1,TRUE)=CONCATENATE($C$3,"-",$D36),VLOOKUP(CONCATENATE($C$3,"-",$D36),Languages!$A:$D,Summary!$C$7,TRUE),NA())</f>
        <v>Kyberarkkitehtuuri määrittää kyberturvallisuusvaatimukset toiminnon kannalta tärkeille laitteille, ohjelmistoille ja tietovarannoille.</v>
      </c>
      <c r="F36" s="385">
        <f t="shared" si="0"/>
        <v>0</v>
      </c>
      <c r="G36" s="501" t="s">
        <v>2542</v>
      </c>
      <c r="H36" s="493"/>
      <c r="I36" s="493"/>
      <c r="J36" s="493"/>
      <c r="K36" s="494"/>
      <c r="L36" s="154"/>
      <c r="M36" s="252"/>
      <c r="N36" s="149"/>
      <c r="O36" s="918" t="str">
        <f>VLOOKUP(VLOOKUP($C$3&amp;"-"&amp;$D36,Import!$C:$D,2,FALSE),Parameters!$C$18:$F$22,Summary!$C$7,FALSE)</f>
        <v xml:space="preserve">0 - Vastaus puuttuu </v>
      </c>
      <c r="P36" s="919" t="str">
        <f>IF(VLOOKUP($C$3&amp;"-"&amp;$D36,Import!$C:$H,3,FALSE)=0,"",VLOOKUP($C$3&amp;"-"&amp;$D36,Import!$C:$H,3,FALSE))</f>
        <v/>
      </c>
      <c r="Q36" s="919" t="str">
        <f>IF(VLOOKUP($C$3&amp;"-"&amp;$D36,Import!$C:$H,4,FALSE)=0,"",VLOOKUP($C$3&amp;"-"&amp;$D36,Import!$C:$H,4,FALSE))</f>
        <v/>
      </c>
      <c r="R36" s="919" t="str">
        <f>IF(VLOOKUP($C$3&amp;"-"&amp;$D36,Import!$C:$H,5,FALSE)=0,"",VLOOKUP($C$3&amp;"-"&amp;$D36,Import!$C:$H,5,FALSE))</f>
        <v/>
      </c>
      <c r="S36" s="920" t="str">
        <f>IF(VLOOKUP($C$3&amp;"-"&amp;$D36,Import!$C:$H,6,FALSE)=0,"",VLOOKUP($C$3&amp;"-"&amp;$D36,Import!$C:$H,6,FALSE))</f>
        <v/>
      </c>
      <c r="T36" s="154"/>
      <c r="U36" s="252"/>
    </row>
    <row r="37" spans="1:21" s="289" customFormat="1" ht="60" customHeight="1" x14ac:dyDescent="0.2">
      <c r="A37" s="275"/>
      <c r="B37" s="382"/>
      <c r="C37" s="1219"/>
      <c r="D37" s="414" t="s">
        <v>12</v>
      </c>
      <c r="E37" s="496" t="str">
        <f>IF(VLOOKUP(CONCATENATE($C$3,"-",$D37),Languages!$A:$D,1,TRUE)=CONCATENATE($C$3,"-",$D37),VLOOKUP(CONCATENATE($C$3,"-",$D37),Languages!$A:$D,Summary!$C$7,TRUE),NA())</f>
        <v>Kyberturvallisuuden suojausmekanismit on valittu ja toteutettu siten, että kyberturvallisuusvaatimukset toteutuvat.</v>
      </c>
      <c r="F37" s="391">
        <f t="shared" si="0"/>
        <v>0</v>
      </c>
      <c r="G37" s="456" t="s">
        <v>2542</v>
      </c>
      <c r="H37" s="454"/>
      <c r="I37" s="454"/>
      <c r="J37" s="454"/>
      <c r="K37" s="455"/>
      <c r="L37" s="154"/>
      <c r="M37" s="252"/>
      <c r="N37" s="149"/>
      <c r="O37" s="886" t="str">
        <f>VLOOKUP(VLOOKUP($C$3&amp;"-"&amp;$D37,Import!$C:$D,2,FALSE),Parameters!$C$18:$F$22,Summary!$C$7,FALSE)</f>
        <v xml:space="preserve">0 - Vastaus puuttuu </v>
      </c>
      <c r="P37" s="925" t="str">
        <f>IF(VLOOKUP($C$3&amp;"-"&amp;$D37,Import!$C:$H,3,FALSE)=0,"",VLOOKUP($C$3&amp;"-"&amp;$D37,Import!$C:$H,3,FALSE))</f>
        <v/>
      </c>
      <c r="Q37" s="925" t="str">
        <f>IF(VLOOKUP($C$3&amp;"-"&amp;$D37,Import!$C:$H,4,FALSE)=0,"",VLOOKUP($C$3&amp;"-"&amp;$D37,Import!$C:$H,4,FALSE))</f>
        <v/>
      </c>
      <c r="R37" s="925" t="str">
        <f>IF(VLOOKUP($C$3&amp;"-"&amp;$D37,Import!$C:$H,5,FALSE)=0,"",VLOOKUP($C$3&amp;"-"&amp;$D37,Import!$C:$H,5,FALSE))</f>
        <v/>
      </c>
      <c r="S37" s="926" t="str">
        <f>IF(VLOOKUP($C$3&amp;"-"&amp;$D37,Import!$C:$H,6,FALSE)=0,"",VLOOKUP($C$3&amp;"-"&amp;$D37,Import!$C:$H,6,FALSE))</f>
        <v/>
      </c>
      <c r="T37" s="154"/>
      <c r="U37" s="252"/>
    </row>
    <row r="38" spans="1:21" s="289" customFormat="1" ht="60" customHeight="1" x14ac:dyDescent="0.2">
      <c r="A38" s="275"/>
      <c r="B38" s="382"/>
      <c r="C38" s="1220">
        <v>3</v>
      </c>
      <c r="D38" s="1045" t="s">
        <v>13</v>
      </c>
      <c r="E38" s="1046" t="str">
        <f>IF(VLOOKUP(CONCATENATE($C$3,"-",$D38),Languages!$A:$D,1,TRUE)=CONCATENATE($C$3,"-",$D38),VLOOKUP(CONCATENATE($C$3,"-",$D38),Languages!$A:$D,Summary!$C$7,TRUE),NA())</f>
        <v>Kyberarkkitehtuurin kehittämissuunnitelma tai strategia ja kyberarkkitehtuurin hallinta ovat linjassa organisaation yritysarkkitehtuuristrategian (myös "kokonaisarkkitehtuuri") ja yritysarkkitehtuurin hallinnan kanssa.</v>
      </c>
      <c r="F38" s="394">
        <f t="shared" si="0"/>
        <v>0</v>
      </c>
      <c r="G38" s="491" t="s">
        <v>2542</v>
      </c>
      <c r="H38" s="1047"/>
      <c r="I38" s="1047"/>
      <c r="J38" s="1047"/>
      <c r="K38" s="1048"/>
      <c r="L38" s="154"/>
      <c r="M38" s="252"/>
      <c r="N38" s="149"/>
      <c r="O38" s="913" t="str">
        <f>VLOOKUP(VLOOKUP($C$3&amp;"-"&amp;$D38,Import!$C:$D,2,FALSE),Parameters!$C$18:$F$22,Summary!$C$7,FALSE)</f>
        <v xml:space="preserve">0 - Vastaus puuttuu </v>
      </c>
      <c r="P38" s="947" t="str">
        <f>IF(VLOOKUP($C$3&amp;"-"&amp;$D38,Import!$C:$H,3,FALSE)=0,"",VLOOKUP($C$3&amp;"-"&amp;$D38,Import!$C:$H,3,FALSE))</f>
        <v/>
      </c>
      <c r="Q38" s="947" t="str">
        <f>IF(VLOOKUP($C$3&amp;"-"&amp;$D38,Import!$C:$H,4,FALSE)=0,"",VLOOKUP($C$3&amp;"-"&amp;$D38,Import!$C:$H,4,FALSE))</f>
        <v/>
      </c>
      <c r="R38" s="947" t="str">
        <f>IF(VLOOKUP($C$3&amp;"-"&amp;$D38,Import!$C:$H,5,FALSE)=0,"",VLOOKUP($C$3&amp;"-"&amp;$D38,Import!$C:$H,5,FALSE))</f>
        <v/>
      </c>
      <c r="S38" s="948" t="str">
        <f>IF(VLOOKUP($C$3&amp;"-"&amp;$D38,Import!$C:$H,6,FALSE)=0,"",VLOOKUP($C$3&amp;"-"&amp;$D38,Import!$C:$H,6,FALSE))</f>
        <v/>
      </c>
      <c r="T38" s="154"/>
      <c r="U38" s="252"/>
    </row>
    <row r="39" spans="1:21" s="289" customFormat="1" ht="42.6" customHeight="1" x14ac:dyDescent="0.2">
      <c r="A39" s="275"/>
      <c r="B39" s="381"/>
      <c r="C39" s="1221"/>
      <c r="D39" s="290" t="s">
        <v>14</v>
      </c>
      <c r="E39" s="469" t="str">
        <f>IF(VLOOKUP(CONCATENATE($C$3,"-",$D39),Languages!$A:$D,1,TRUE)=CONCATENATE($C$3,"-",$D39),VLOOKUP(CONCATENATE($C$3,"-",$D39),Languages!$A:$D,Summary!$C$7,TRUE),NA())</f>
        <v>Organisaation järjestelmien ja verkkojen vaatimustenmukaisuutta kyberarkkitehtuuriin nähden arvioidaan aika ajoin ja määriteltyjen tilanteiden kuten järjestelmämuutosten tai ulkoisten tapahtumien yhteydessä.</v>
      </c>
      <c r="F39" s="287">
        <f t="shared" si="0"/>
        <v>0</v>
      </c>
      <c r="G39" s="307" t="s">
        <v>2542</v>
      </c>
      <c r="H39" s="443"/>
      <c r="I39" s="443"/>
      <c r="J39" s="443"/>
      <c r="K39" s="452"/>
      <c r="L39" s="154"/>
      <c r="M39" s="252"/>
      <c r="N39" s="149"/>
      <c r="O39" s="892" t="str">
        <f>VLOOKUP(VLOOKUP($C$3&amp;"-"&amp;$D39,Import!$C:$D,2,FALSE),Parameters!$C$18:$F$22,Summary!$C$7,FALSE)</f>
        <v xml:space="preserve">0 - Vastaus puuttuu </v>
      </c>
      <c r="P39" s="916" t="str">
        <f>IF(VLOOKUP($C$3&amp;"-"&amp;$D39,Import!$C:$H,3,FALSE)=0,"",VLOOKUP($C$3&amp;"-"&amp;$D39,Import!$C:$H,3,FALSE))</f>
        <v/>
      </c>
      <c r="Q39" s="916" t="str">
        <f>IF(VLOOKUP($C$3&amp;"-"&amp;$D39,Import!$C:$H,4,FALSE)=0,"",VLOOKUP($C$3&amp;"-"&amp;$D39,Import!$C:$H,4,FALSE))</f>
        <v/>
      </c>
      <c r="R39" s="916" t="str">
        <f>IF(VLOOKUP($C$3&amp;"-"&amp;$D39,Import!$C:$H,5,FALSE)=0,"",VLOOKUP($C$3&amp;"-"&amp;$D39,Import!$C:$H,5,FALSE))</f>
        <v/>
      </c>
      <c r="S39" s="917" t="str">
        <f>IF(VLOOKUP($C$3&amp;"-"&amp;$D39,Import!$C:$H,6,FALSE)=0,"",VLOOKUP($C$3&amp;"-"&amp;$D39,Import!$C:$H,6,FALSE))</f>
        <v/>
      </c>
      <c r="T39" s="154"/>
      <c r="U39" s="252"/>
    </row>
    <row r="40" spans="1:21" s="289" customFormat="1" ht="42.6" customHeight="1" x14ac:dyDescent="0.2">
      <c r="A40" s="275"/>
      <c r="B40" s="1011"/>
      <c r="C40" s="1221"/>
      <c r="D40" s="388" t="s">
        <v>15</v>
      </c>
      <c r="E40" s="472" t="str">
        <f>IF(VLOOKUP(CONCATENATE($C$3,"-",$D40),Languages!$A:$D,1,TRUE)=CONCATENATE($C$3,"-",$D40),VLOOKUP(CONCATENATE($C$3,"-",$D40),Languages!$A:$D,Summary!$C$7,TRUE),NA())</f>
        <v>Kyberturvallisuusarkkitehtuurin kehitystä ohjaavat organisaation riskiarviointien tulokset [kts. RISK-3d] sekä organisaation uhkaprofiili [kts. THREAT-2e].</v>
      </c>
      <c r="F40" s="287">
        <f t="shared" si="0"/>
        <v>0</v>
      </c>
      <c r="G40" s="501" t="s">
        <v>2542</v>
      </c>
      <c r="H40" s="493"/>
      <c r="I40" s="493"/>
      <c r="J40" s="493"/>
      <c r="K40" s="494"/>
      <c r="L40" s="154"/>
      <c r="M40" s="252"/>
      <c r="N40" s="149"/>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54"/>
      <c r="U40" s="252"/>
    </row>
    <row r="41" spans="1:21" s="289" customFormat="1" ht="34.950000000000003" customHeight="1" x14ac:dyDescent="0.2">
      <c r="A41" s="275"/>
      <c r="B41" s="381"/>
      <c r="C41" s="1222"/>
      <c r="D41" s="392" t="s">
        <v>186</v>
      </c>
      <c r="E41" s="472" t="str">
        <f>IF(VLOOKUP(CONCATENATE($C$3,"-",$D41),Languages!$A:$D,1,TRUE)=CONCATENATE($C$3,"-",$D41),VLOOKUP(CONCATENATE($C$3,"-",$D41),Languages!$A:$D,Summary!$C$7,TRUE),NA())</f>
        <v>Kyberarkkitehtuuri käsittelee ennalta määriteltyjä toimintatiloja [kts. SITUATION-3g].</v>
      </c>
      <c r="F41" s="393">
        <f t="shared" si="0"/>
        <v>0</v>
      </c>
      <c r="G41" s="449" t="s">
        <v>2542</v>
      </c>
      <c r="H41" s="444"/>
      <c r="I41" s="444"/>
      <c r="J41" s="444"/>
      <c r="K41" s="453"/>
      <c r="L41" s="154"/>
      <c r="M41" s="252"/>
      <c r="N41" s="149"/>
      <c r="O41" s="897" t="str">
        <f>VLOOKUP(VLOOKUP($C$3&amp;"-"&amp;$D41,Import!$C:$D,2,FALSE),Parameters!$C$18:$F$22,Summary!$C$7,FALSE)</f>
        <v xml:space="preserve">0 - Vastaus puuttuu </v>
      </c>
      <c r="P41" s="923" t="str">
        <f>IF(VLOOKUP($C$3&amp;"-"&amp;$D41,Import!$C:$H,3,FALSE)=0,"",VLOOKUP($C$3&amp;"-"&amp;$D41,Import!$C:$H,3,FALSE))</f>
        <v/>
      </c>
      <c r="Q41" s="923" t="str">
        <f>IF(VLOOKUP($C$3&amp;"-"&amp;$D41,Import!$C:$H,4,FALSE)=0,"",VLOOKUP($C$3&amp;"-"&amp;$D41,Import!$C:$H,4,FALSE))</f>
        <v/>
      </c>
      <c r="R41" s="923" t="str">
        <f>IF(VLOOKUP($C$3&amp;"-"&amp;$D41,Import!$C:$H,5,FALSE)=0,"",VLOOKUP($C$3&amp;"-"&amp;$D41,Import!$C:$H,5,FALSE))</f>
        <v/>
      </c>
      <c r="S41" s="924" t="str">
        <f>IF(VLOOKUP($C$3&amp;"-"&amp;$D41,Import!$C:$H,6,FALSE)=0,"",VLOOKUP($C$3&amp;"-"&amp;$D41,Import!$C:$H,6,FALSE))</f>
        <v/>
      </c>
      <c r="T41" s="154"/>
      <c r="U41" s="252"/>
    </row>
    <row r="42" spans="1:21" s="177" customFormat="1" ht="30" customHeight="1" x14ac:dyDescent="0.25">
      <c r="A42" s="166"/>
      <c r="B42" s="269"/>
      <c r="C42" s="170">
        <v>2</v>
      </c>
      <c r="D42" s="170" t="str">
        <f>IF(VLOOKUP(CONCATENATE($C$3,"-",C42),Languages!$A:$D,1,TRUE)=CONCATENATE($C$3,"-",C42),VLOOKUP(CONCATENATE($C$3,"-",C42),Languages!$A:$D,Summary!$C$7,TRUE),NA())</f>
        <v>Tietoverkkojen suojaus osana kyberarkkitehtuuria</v>
      </c>
      <c r="E42" s="170"/>
      <c r="F42" s="292"/>
      <c r="G42" s="907"/>
      <c r="H42" s="929"/>
      <c r="I42" s="929"/>
      <c r="J42" s="929"/>
      <c r="K42" s="929"/>
      <c r="L42" s="154"/>
      <c r="M42" s="252"/>
      <c r="N42" s="149"/>
      <c r="O42" s="292"/>
      <c r="P42" s="293"/>
      <c r="Q42" s="293"/>
      <c r="R42" s="293"/>
      <c r="S42" s="293"/>
      <c r="T42" s="154"/>
      <c r="U42" s="252"/>
    </row>
    <row r="43" spans="1:21" s="285" customFormat="1" ht="19.95" customHeight="1" x14ac:dyDescent="0.2">
      <c r="A43" s="304"/>
      <c r="B43" s="279"/>
      <c r="C43" s="280" t="str">
        <f>IF(VLOOKUP("GEN-LEVEL",Languages!$A:$D,1,TRUE)="GEN-LEVEL",VLOOKUP("GEN-LEVEL",Languages!$A:$D,Summary!$C$7,TRUE),NA())</f>
        <v>Taso</v>
      </c>
      <c r="D43" s="280"/>
      <c r="E43" s="281" t="str">
        <f>IF(VLOOKUP("GEN-PRACTICE",Languages!$A:$D,1,TRUE)="GEN-PRACTICE",VLOOKUP("GEN-PRACTICE",Languages!$A:$D,Summary!$C$7,TRUE),NA())</f>
        <v>Käytäntö</v>
      </c>
      <c r="F43" s="282"/>
      <c r="G43" s="904" t="str">
        <f>IF(VLOOKUP("GEN-ANSWER",Languages!$A:$D,1,TRUE)="GEN-ANSWER",VLOOKUP("GEN-ANSWER",Languages!$A:$D,Summary!$C$7,TRUE),NA())</f>
        <v>Vastaus</v>
      </c>
      <c r="H43" s="905" t="str">
        <f>IF(VLOOKUP("KM112",Languages!$A:$D,1,TRUE)="KM112",VLOOKUP("KM112",Languages!$A:$D,Summary!$C$7,TRUE),NA())</f>
        <v>Kommentit</v>
      </c>
      <c r="I43" s="905" t="str">
        <f>IF(VLOOKUP("KM113",Languages!$A:$D,1,TRUE)="KM113",VLOOKUP("KM113",Languages!$A:$D,Summary!$C$7,TRUE),NA())</f>
        <v>Sisäinen viittaus</v>
      </c>
      <c r="J43" s="905" t="str">
        <f>IF(VLOOKUP("KM114",Languages!$A:$D,1,TRUE)="KM114",VLOOKUP("KM114",Languages!$A:$D,Summary!$C$7,TRUE),NA())</f>
        <v>Ulkoinen viittaus</v>
      </c>
      <c r="K43" s="905" t="str">
        <f>IF(VLOOKUP("KM115",Languages!$A:$D,1,TRUE)="KM115",VLOOKUP("KM115",Languages!$A:$D,Summary!$C$7,TRUE),NA())</f>
        <v>Kehityskohde</v>
      </c>
      <c r="L43" s="283"/>
      <c r="M43" s="284"/>
      <c r="N43" s="279"/>
      <c r="O43" s="463" t="str">
        <f>IF(VLOOKUP("GEN-ANSWER",Languages!$A:$D,1,TRUE)="GEN-ANSWER",VLOOKUP("GEN-ANSWER",Languages!$A:$D,Summary!$C$7,TRUE),NA())</f>
        <v>Vastaus</v>
      </c>
      <c r="P43" s="463" t="str">
        <f>IF(VLOOKUP("KM112",Languages!$A:$D,1,TRUE)="KM112",VLOOKUP("KM112",Languages!$A:$D,Summary!$C$7,TRUE),NA())</f>
        <v>Kommentit</v>
      </c>
      <c r="Q43" s="463" t="str">
        <f>IF(VLOOKUP("KM113",Languages!$A:$D,1,TRUE)="KM113",VLOOKUP("KM113",Languages!$A:$D,Summary!$C$7,TRUE),NA())</f>
        <v>Sisäinen viittaus</v>
      </c>
      <c r="R43" s="463" t="str">
        <f>IF(VLOOKUP("KM114",Languages!$A:$D,1,TRUE)="KM114",VLOOKUP("KM114",Languages!$A:$D,Summary!$C$7,TRUE),NA())</f>
        <v>Ulkoinen viittaus</v>
      </c>
      <c r="S43" s="463" t="str">
        <f>IF(VLOOKUP("KM115",Languages!$A:$D,1,TRUE)="KM115",VLOOKUP("KM115",Languages!$A:$D,Summary!$C$7,TRUE),NA())</f>
        <v>Kehityskohde</v>
      </c>
      <c r="T43" s="283"/>
      <c r="U43" s="284"/>
    </row>
    <row r="44" spans="1:21" s="296" customFormat="1" ht="68.400000000000006" customHeight="1" x14ac:dyDescent="0.2">
      <c r="A44" s="305"/>
      <c r="B44" s="1050"/>
      <c r="C44" s="1214">
        <v>1</v>
      </c>
      <c r="D44" s="399" t="s">
        <v>17</v>
      </c>
      <c r="E44" s="466" t="str">
        <f>IF(VLOOKUP(CONCATENATE($C$3,"-",$D44),Languages!$A:$D,1,TRUE)=CONCATENATE($C$3,"-",$D44),VLOOKUP(CONCATENATE($C$3,"-",$D44),Languages!$A:$D,Summary!$C$7,TRUE),NA())</f>
        <v>Verkon suojauksia on toteutettu, ainakin tapauskohtaisesti. Tasolla 1 tämän ei tarvitse olla systemaattista tai säännöllistä.</v>
      </c>
      <c r="F44" s="391">
        <f t="shared" ref="F44:F55" si="1">IFERROR(INT(LEFT($G44,1)),0)</f>
        <v>0</v>
      </c>
      <c r="G44" s="456" t="s">
        <v>2542</v>
      </c>
      <c r="H44" s="486"/>
      <c r="I44" s="486"/>
      <c r="J44" s="486"/>
      <c r="K44" s="487"/>
      <c r="L44" s="154"/>
      <c r="M44" s="252"/>
      <c r="N44" s="149"/>
      <c r="O44" s="886" t="str">
        <f>VLOOKUP(VLOOKUP($C$3&amp;"-"&amp;$D44,Import!$C:$D,2,FALSE),Parameters!$C$18:$F$22,Summary!$C$7,FALSE)</f>
        <v xml:space="preserve">0 - Vastaus puuttuu </v>
      </c>
      <c r="P44" s="911" t="str">
        <f>IF(VLOOKUP($C$3&amp;"-"&amp;$D44,Import!$C:$H,3,FALSE)=0,"",VLOOKUP($C$3&amp;"-"&amp;$D44,Import!$C:$H,3,FALSE))</f>
        <v/>
      </c>
      <c r="Q44" s="911" t="str">
        <f>IF(VLOOKUP($C$3&amp;"-"&amp;$D44,Import!$C:$H,4,FALSE)=0,"",VLOOKUP($C$3&amp;"-"&amp;$D44,Import!$C:$H,4,FALSE))</f>
        <v/>
      </c>
      <c r="R44" s="911" t="str">
        <f>IF(VLOOKUP($C$3&amp;"-"&amp;$D44,Import!$C:$H,5,FALSE)=0,"",VLOOKUP($C$3&amp;"-"&amp;$D44,Import!$C:$H,5,FALSE))</f>
        <v/>
      </c>
      <c r="S44" s="912" t="str">
        <f>IF(VLOOKUP($C$3&amp;"-"&amp;$D44,Import!$C:$H,6,FALSE)=0,"",VLOOKUP($C$3&amp;"-"&amp;$D44,Import!$C:$H,6,FALSE))</f>
        <v/>
      </c>
      <c r="T44" s="154"/>
      <c r="U44" s="252"/>
    </row>
    <row r="45" spans="1:21" s="296" customFormat="1" ht="60" customHeight="1" x14ac:dyDescent="0.2">
      <c r="A45" s="305"/>
      <c r="B45" s="1050"/>
      <c r="C45" s="1215"/>
      <c r="D45" s="399" t="s">
        <v>18</v>
      </c>
      <c r="E45" s="466" t="str">
        <f>IF(VLOOKUP(CONCATENATE($C$3,"-",$D45),Languages!$A:$D,1,TRUE)=CONCATENATE($C$3,"-",$D45),VLOOKUP(CONCATENATE($C$3,"-",$D45),Languages!$A:$D,Summary!$C$7,TRUE),NA())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45" s="391">
        <f t="shared" si="1"/>
        <v>0</v>
      </c>
      <c r="G45" s="456" t="s">
        <v>2542</v>
      </c>
      <c r="H45" s="454"/>
      <c r="I45" s="454"/>
      <c r="J45" s="454"/>
      <c r="K45" s="455"/>
      <c r="L45" s="154"/>
      <c r="M45" s="252"/>
      <c r="N45" s="149"/>
      <c r="O45" s="889" t="str">
        <f>VLOOKUP(VLOOKUP($C$3&amp;"-"&amp;$D45,Import!$C:$D,2,FALSE),Parameters!$C$18:$F$22,Summary!$C$7,FALSE)</f>
        <v xml:space="preserve">0 - Vastaus puuttuu </v>
      </c>
      <c r="P45" s="921" t="str">
        <f>IF(VLOOKUP($C$3&amp;"-"&amp;$D45,Import!$C:$H,3,FALSE)=0,"",VLOOKUP($C$3&amp;"-"&amp;$D45,Import!$C:$H,3,FALSE))</f>
        <v/>
      </c>
      <c r="Q45" s="921" t="str">
        <f>IF(VLOOKUP($C$3&amp;"-"&amp;$D45,Import!$C:$H,4,FALSE)=0,"",VLOOKUP($C$3&amp;"-"&amp;$D45,Import!$C:$H,4,FALSE))</f>
        <v/>
      </c>
      <c r="R45" s="921" t="str">
        <f>IF(VLOOKUP($C$3&amp;"-"&amp;$D45,Import!$C:$H,5,FALSE)=0,"",VLOOKUP($C$3&amp;"-"&amp;$D45,Import!$C:$H,5,FALSE))</f>
        <v/>
      </c>
      <c r="S45" s="922" t="str">
        <f>IF(VLOOKUP($C$3&amp;"-"&amp;$D45,Import!$C:$H,6,FALSE)=0,"",VLOOKUP($C$3&amp;"-"&amp;$D45,Import!$C:$H,6,FALSE))</f>
        <v/>
      </c>
      <c r="T45" s="154"/>
      <c r="U45" s="252"/>
    </row>
    <row r="46" spans="1:21" s="296" customFormat="1" ht="34.950000000000003" customHeight="1" x14ac:dyDescent="0.2">
      <c r="A46" s="305"/>
      <c r="B46" s="297"/>
      <c r="C46" s="1207">
        <v>2</v>
      </c>
      <c r="D46" s="1049" t="s">
        <v>19</v>
      </c>
      <c r="E46" s="475" t="str">
        <f>IF(VLOOKUP(CONCATENATE($C$3,"-",$D46),Languages!$A:$D,1,TRUE)=CONCATENATE($C$3,"-",$D46),VLOOKUP(CONCATENATE($C$3,"-",$D46),Languages!$A:$D,Summary!$C$7,TRUE),NA())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46" s="394">
        <f t="shared" si="1"/>
        <v>0</v>
      </c>
      <c r="G46" s="491" t="s">
        <v>2542</v>
      </c>
      <c r="H46" s="1047"/>
      <c r="I46" s="1047"/>
      <c r="J46" s="1047"/>
      <c r="K46" s="1048"/>
      <c r="L46" s="154"/>
      <c r="M46" s="252"/>
      <c r="N46" s="149"/>
      <c r="O46" s="892" t="str">
        <f>VLOOKUP(VLOOKUP($C$3&amp;"-"&amp;$D46,Import!$C:$D,2,FALSE),Parameters!$C$18:$F$22,Summary!$C$7,FALSE)</f>
        <v xml:space="preserve">0 - Vastaus puuttuu </v>
      </c>
      <c r="P46" s="916" t="str">
        <f>IF(VLOOKUP($C$3&amp;"-"&amp;$D46,Import!$C:$H,3,FALSE)=0,"",VLOOKUP($C$3&amp;"-"&amp;$D46,Import!$C:$H,3,FALSE))</f>
        <v/>
      </c>
      <c r="Q46" s="916" t="str">
        <f>IF(VLOOKUP($C$3&amp;"-"&amp;$D46,Import!$C:$H,4,FALSE)=0,"",VLOOKUP($C$3&amp;"-"&amp;$D46,Import!$C:$H,4,FALSE))</f>
        <v/>
      </c>
      <c r="R46" s="916" t="str">
        <f>IF(VLOOKUP($C$3&amp;"-"&amp;$D46,Import!$C:$H,5,FALSE)=0,"",VLOOKUP($C$3&amp;"-"&amp;$D46,Import!$C:$H,5,FALSE))</f>
        <v/>
      </c>
      <c r="S46" s="917" t="str">
        <f>IF(VLOOKUP($C$3&amp;"-"&amp;$D46,Import!$C:$H,6,FALSE)=0,"",VLOOKUP($C$3&amp;"-"&amp;$D46,Import!$C:$H,6,FALSE))</f>
        <v/>
      </c>
      <c r="T46" s="154"/>
      <c r="U46" s="252"/>
    </row>
    <row r="47" spans="1:21" s="296" customFormat="1" ht="77.400000000000006" customHeight="1" x14ac:dyDescent="0.2">
      <c r="A47" s="305"/>
      <c r="B47" s="380"/>
      <c r="C47" s="1212"/>
      <c r="D47" s="294" t="s">
        <v>20</v>
      </c>
      <c r="E47" s="468" t="str">
        <f>IF(VLOOKUP(CONCATENATE($C$3,"-",$D47),Languages!$A:$D,1,TRUE)=CONCATENATE($C$3,"-",$D47),VLOOKUP(CONCATENATE($C$3,"-",$D47),Languages!$A:$D,Summary!$C$7,TRUE),NA())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47" s="287">
        <f t="shared" si="1"/>
        <v>0</v>
      </c>
      <c r="G47" s="307" t="s">
        <v>2542</v>
      </c>
      <c r="H47" s="443"/>
      <c r="I47" s="443"/>
      <c r="J47" s="443"/>
      <c r="K47" s="452"/>
      <c r="L47" s="154"/>
      <c r="M47" s="252"/>
      <c r="N47" s="149"/>
      <c r="O47" s="892" t="str">
        <f>VLOOKUP(VLOOKUP($C$3&amp;"-"&amp;$D47,Import!$C:$D,2,FALSE),Parameters!$C$18:$F$22,Summary!$C$7,FALSE)</f>
        <v xml:space="preserve">0 - Vastaus puuttuu </v>
      </c>
      <c r="P47" s="916" t="str">
        <f>IF(VLOOKUP($C$3&amp;"-"&amp;$D47,Import!$C:$H,3,FALSE)=0,"",VLOOKUP($C$3&amp;"-"&amp;$D47,Import!$C:$H,3,FALSE))</f>
        <v/>
      </c>
      <c r="Q47" s="916" t="str">
        <f>IF(VLOOKUP($C$3&amp;"-"&amp;$D47,Import!$C:$H,4,FALSE)=0,"",VLOOKUP($C$3&amp;"-"&amp;$D47,Import!$C:$H,4,FALSE))</f>
        <v/>
      </c>
      <c r="R47" s="916" t="str">
        <f>IF(VLOOKUP($C$3&amp;"-"&amp;$D47,Import!$C:$H,5,FALSE)=0,"",VLOOKUP($C$3&amp;"-"&amp;$D47,Import!$C:$H,5,FALSE))</f>
        <v/>
      </c>
      <c r="S47" s="917" t="str">
        <f>IF(VLOOKUP($C$3&amp;"-"&amp;$D47,Import!$C:$H,6,FALSE)=0,"",VLOOKUP($C$3&amp;"-"&amp;$D47,Import!$C:$H,6,FALSE))</f>
        <v/>
      </c>
      <c r="T47" s="154"/>
      <c r="U47" s="252"/>
    </row>
    <row r="48" spans="1:21" s="296" customFormat="1" ht="56.4" customHeight="1" x14ac:dyDescent="0.2">
      <c r="A48" s="305"/>
      <c r="B48" s="380"/>
      <c r="C48" s="1212"/>
      <c r="D48" s="294" t="s">
        <v>21</v>
      </c>
      <c r="E48" s="468" t="str">
        <f>IF(VLOOKUP(CONCATENATE($C$3,"-",$D48),Languages!$A:$D,1,TRUE)=CONCATENATE($C$3,"-",$D48),VLOOKUP(CONCATENATE($C$3,"-",$D48),Languages!$A:$D,Summary!$C$7,TRUE),NA())</f>
        <v>Verkkojen suojauksessa huomioidaan pienimmän valtuuden ja pienimmän toiminnallisuuden periaatteet.</v>
      </c>
      <c r="F48" s="287">
        <f t="shared" si="1"/>
        <v>0</v>
      </c>
      <c r="G48" s="307" t="s">
        <v>2542</v>
      </c>
      <c r="H48" s="443"/>
      <c r="I48" s="443"/>
      <c r="J48" s="443"/>
      <c r="K48" s="452"/>
      <c r="L48" s="154"/>
      <c r="M48" s="252"/>
      <c r="N48" s="149"/>
      <c r="O48" s="892" t="str">
        <f>VLOOKUP(VLOOKUP($C$3&amp;"-"&amp;$D48,Import!$C:$D,2,FALSE),Parameters!$C$18:$F$22,Summary!$C$7,FALSE)</f>
        <v xml:space="preserve">0 - Vastaus puuttuu </v>
      </c>
      <c r="P48" s="916" t="str">
        <f>IF(VLOOKUP($C$3&amp;"-"&amp;$D48,Import!$C:$H,3,FALSE)=0,"",VLOOKUP($C$3&amp;"-"&amp;$D48,Import!$C:$H,3,FALSE))</f>
        <v/>
      </c>
      <c r="Q48" s="916" t="str">
        <f>IF(VLOOKUP($C$3&amp;"-"&amp;$D48,Import!$C:$H,4,FALSE)=0,"",VLOOKUP($C$3&amp;"-"&amp;$D48,Import!$C:$H,4,FALSE))</f>
        <v/>
      </c>
      <c r="R48" s="916" t="str">
        <f>IF(VLOOKUP($C$3&amp;"-"&amp;$D48,Import!$C:$H,5,FALSE)=0,"",VLOOKUP($C$3&amp;"-"&amp;$D48,Import!$C:$H,5,FALSE))</f>
        <v/>
      </c>
      <c r="S48" s="917" t="str">
        <f>IF(VLOOKUP($C$3&amp;"-"&amp;$D48,Import!$C:$H,6,FALSE)=0,"",VLOOKUP($C$3&amp;"-"&amp;$D48,Import!$C:$H,6,FALSE))</f>
        <v/>
      </c>
      <c r="T48" s="154"/>
      <c r="U48" s="252"/>
    </row>
    <row r="49" spans="1:21" s="296" customFormat="1" ht="54.6" customHeight="1" x14ac:dyDescent="0.2">
      <c r="A49" s="305"/>
      <c r="B49" s="380"/>
      <c r="C49" s="1212"/>
      <c r="D49" s="396" t="s">
        <v>103</v>
      </c>
      <c r="E49" s="474" t="str">
        <f>IF(VLOOKUP(CONCATENATE($C$3,"-",$D49),Languages!$A:$D,1,TRUE)=CONCATENATE($C$3,"-",$D49),VLOOKUP(CONCATENATE($C$3,"-",$D49),Languages!$A:$D,Summary!$C$7,TRUE),NA())</f>
        <v xml:space="preserve">Verkkojen suojaus sisältää valvonnan, analyysin ja verkkoliikenteen hallinnan (esimerkiksi palomuurit, IDPS) </v>
      </c>
      <c r="F49" s="393">
        <f t="shared" si="1"/>
        <v>0</v>
      </c>
      <c r="G49" s="449" t="s">
        <v>2542</v>
      </c>
      <c r="H49" s="444"/>
      <c r="I49" s="444"/>
      <c r="J49" s="444"/>
      <c r="K49" s="453"/>
      <c r="L49" s="154"/>
      <c r="M49" s="252"/>
      <c r="N49" s="149"/>
      <c r="O49" s="897" t="str">
        <f>VLOOKUP(VLOOKUP($C$3&amp;"-"&amp;$D49,Import!$C:$D,2,FALSE),Parameters!$C$18:$F$22,Summary!$C$7,FALSE)</f>
        <v xml:space="preserve">0 - Vastaus puuttuu </v>
      </c>
      <c r="P49" s="923" t="str">
        <f>IF(VLOOKUP($C$3&amp;"-"&amp;$D49,Import!$C:$H,3,FALSE)=0,"",VLOOKUP($C$3&amp;"-"&amp;$D49,Import!$C:$H,3,FALSE))</f>
        <v/>
      </c>
      <c r="Q49" s="923" t="str">
        <f>IF(VLOOKUP($C$3&amp;"-"&amp;$D49,Import!$C:$H,4,FALSE)=0,"",VLOOKUP($C$3&amp;"-"&amp;$D49,Import!$C:$H,4,FALSE))</f>
        <v/>
      </c>
      <c r="R49" s="923" t="str">
        <f>IF(VLOOKUP($C$3&amp;"-"&amp;$D49,Import!$C:$H,5,FALSE)=0,"",VLOOKUP($C$3&amp;"-"&amp;$D49,Import!$C:$H,5,FALSE))</f>
        <v/>
      </c>
      <c r="S49" s="924" t="str">
        <f>IF(VLOOKUP($C$3&amp;"-"&amp;$D49,Import!$C:$H,6,FALSE)=0,"",VLOOKUP($C$3&amp;"-"&amp;$D49,Import!$C:$H,6,FALSE))</f>
        <v/>
      </c>
      <c r="T49" s="154"/>
      <c r="U49" s="252"/>
    </row>
    <row r="50" spans="1:21" s="296" customFormat="1" ht="43.2" customHeight="1" x14ac:dyDescent="0.2">
      <c r="A50" s="305"/>
      <c r="B50" s="380"/>
      <c r="C50" s="1212"/>
      <c r="D50" s="395" t="s">
        <v>165</v>
      </c>
      <c r="E50" s="467" t="str">
        <f>IF(VLOOKUP(CONCATENATE($C$3,"-",$D50),Languages!$A:$D,1,TRUE)=CONCATENATE($C$3,"-",$D50),VLOOKUP(CONCATENATE($C$3,"-",$D50),Languages!$A:$D,Summary!$C$7,TRUE),NA())</f>
        <v>Verkkoliikennettä ja sähköpostia valvotaan, analysoidaan ja hallitaan (esimerkiksi estämällä haitallisia linkkejä tai epäilyttäviä latauksia, sähköpostin autentikointi tai IP-osoitteiden estäminen).</v>
      </c>
      <c r="F50" s="386">
        <f t="shared" si="1"/>
        <v>0</v>
      </c>
      <c r="G50" s="445" t="s">
        <v>2542</v>
      </c>
      <c r="H50" s="442"/>
      <c r="I50" s="442"/>
      <c r="J50" s="442"/>
      <c r="K50" s="451"/>
      <c r="L50" s="154"/>
      <c r="M50" s="252"/>
      <c r="N50" s="149"/>
      <c r="O50" s="889" t="str">
        <f>VLOOKUP(VLOOKUP($C$3&amp;"-"&amp;$D50,Import!$C:$D,2,FALSE),Parameters!$C$18:$F$22,Summary!$C$7,FALSE)</f>
        <v xml:space="preserve">0 - Vastaus puuttuu </v>
      </c>
      <c r="P50" s="921" t="str">
        <f>IF(VLOOKUP($C$3&amp;"-"&amp;$D50,Import!$C:$H,3,FALSE)=0,"",VLOOKUP($C$3&amp;"-"&amp;$D50,Import!$C:$H,3,FALSE))</f>
        <v/>
      </c>
      <c r="Q50" s="921" t="str">
        <f>IF(VLOOKUP($C$3&amp;"-"&amp;$D50,Import!$C:$H,4,FALSE)=0,"",VLOOKUP($C$3&amp;"-"&amp;$D50,Import!$C:$H,4,FALSE))</f>
        <v/>
      </c>
      <c r="R50" s="921" t="str">
        <f>IF(VLOOKUP($C$3&amp;"-"&amp;$D50,Import!$C:$H,5,FALSE)=0,"",VLOOKUP($C$3&amp;"-"&amp;$D50,Import!$C:$H,5,FALSE))</f>
        <v/>
      </c>
      <c r="S50" s="922" t="str">
        <f>IF(VLOOKUP($C$3&amp;"-"&amp;$D50,Import!$C:$H,6,FALSE)=0,"",VLOOKUP($C$3&amp;"-"&amp;$D50,Import!$C:$H,6,FALSE))</f>
        <v/>
      </c>
      <c r="T50" s="154"/>
      <c r="U50" s="252"/>
    </row>
    <row r="51" spans="1:21" s="296" customFormat="1" ht="56.4" customHeight="1" x14ac:dyDescent="0.2">
      <c r="A51" s="305"/>
      <c r="B51" s="380"/>
      <c r="C51" s="1015">
        <v>3</v>
      </c>
      <c r="D51" s="294" t="s">
        <v>167</v>
      </c>
      <c r="E51" s="468" t="str">
        <f>IF(VLOOKUP(CONCATENATE($C$3,"-",$D51),Languages!$A:$D,1,TRUE)=CONCATENATE($C$3,"-",$D51),VLOOKUP(CONCATENATE($C$3,"-",$D51),Languages!$A:$D,Summary!$C$7,TRUE),NA())</f>
        <v>Kaikki laitteet, ohjelmistot ja tietovarannot on segmentoitu turvallisuusvyöhykkeisiin perustuen niille asetettuihin kybervaatimuksiin.</v>
      </c>
      <c r="F51" s="287">
        <f t="shared" si="1"/>
        <v>0</v>
      </c>
      <c r="G51" s="307" t="s">
        <v>2542</v>
      </c>
      <c r="H51" s="443"/>
      <c r="I51" s="443"/>
      <c r="J51" s="443"/>
      <c r="K51" s="452"/>
      <c r="L51" s="154"/>
      <c r="M51" s="252"/>
      <c r="N51" s="149"/>
      <c r="O51" s="892" t="str">
        <f>VLOOKUP(VLOOKUP($C$3&amp;"-"&amp;$D51,Import!$C:$D,2,FALSE),Parameters!$C$18:$F$22,Summary!$C$7,FALSE)</f>
        <v xml:space="preserve">0 - Vastaus puuttuu </v>
      </c>
      <c r="P51" s="916" t="str">
        <f>IF(VLOOKUP($C$3&amp;"-"&amp;$D51,Import!$C:$H,3,FALSE)=0,"",VLOOKUP($C$3&amp;"-"&amp;$D51,Import!$C:$H,3,FALSE))</f>
        <v/>
      </c>
      <c r="Q51" s="916" t="str">
        <f>IF(VLOOKUP($C$3&amp;"-"&amp;$D51,Import!$C:$H,4,FALSE)=0,"",VLOOKUP($C$3&amp;"-"&amp;$D51,Import!$C:$H,4,FALSE))</f>
        <v/>
      </c>
      <c r="R51" s="916" t="str">
        <f>IF(VLOOKUP($C$3&amp;"-"&amp;$D51,Import!$C:$H,5,FALSE)=0,"",VLOOKUP($C$3&amp;"-"&amp;$D51,Import!$C:$H,5,FALSE))</f>
        <v/>
      </c>
      <c r="S51" s="917" t="str">
        <f>IF(VLOOKUP($C$3&amp;"-"&amp;$D51,Import!$C:$H,6,FALSE)=0,"",VLOOKUP($C$3&amp;"-"&amp;$D51,Import!$C:$H,6,FALSE))</f>
        <v/>
      </c>
      <c r="T51" s="154"/>
      <c r="U51" s="252"/>
    </row>
    <row r="52" spans="1:21" s="296" customFormat="1" ht="60" customHeight="1" x14ac:dyDescent="0.2">
      <c r="A52" s="305"/>
      <c r="B52" s="380"/>
      <c r="C52" s="1015"/>
      <c r="D52" s="294" t="s">
        <v>198</v>
      </c>
      <c r="E52" s="468" t="str">
        <f>IF(VLOOKUP(CONCATENATE($C$3,"-",$D52),Languages!$A:$D,1,TRUE)=CONCATENATE($C$3,"-",$D52),VLOOKUP(CONCATENATE($C$3,"-",$D52),Languages!$A:$D,Summary!$C$7,TRUE),NA())</f>
        <v>Verkkojen erottelu on toteutettu turvallisuuslähtöisesti siten että laitteet, ohjelmistot ja tietovarannot on segmentoitu loogisesti tai fyysisesti omiin turva-alueisiinsa, joilla on jokaisella oma todentamisensa/ autentikointi.</v>
      </c>
      <c r="F52" s="287">
        <f t="shared" si="1"/>
        <v>0</v>
      </c>
      <c r="G52" s="307" t="s">
        <v>2542</v>
      </c>
      <c r="H52" s="443"/>
      <c r="I52" s="443"/>
      <c r="J52" s="443"/>
      <c r="K52" s="452"/>
      <c r="L52" s="154"/>
      <c r="M52" s="252"/>
      <c r="N52" s="149"/>
      <c r="O52" s="892" t="str">
        <f>VLOOKUP(VLOOKUP($C$3&amp;"-"&amp;$D52,Import!$C:$D,2,FALSE),Parameters!$C$18:$F$22,Summary!$C$7,FALSE)</f>
        <v xml:space="preserve">0 - Vastaus puuttuu </v>
      </c>
      <c r="P52" s="916" t="str">
        <f>IF(VLOOKUP($C$3&amp;"-"&amp;$D52,Import!$C:$H,3,FALSE)=0,"",VLOOKUP($C$3&amp;"-"&amp;$D52,Import!$C:$H,3,FALSE))</f>
        <v/>
      </c>
      <c r="Q52" s="916" t="str">
        <f>IF(VLOOKUP($C$3&amp;"-"&amp;$D52,Import!$C:$H,4,FALSE)=0,"",VLOOKUP($C$3&amp;"-"&amp;$D52,Import!$C:$H,4,FALSE))</f>
        <v/>
      </c>
      <c r="R52" s="916" t="str">
        <f>IF(VLOOKUP($C$3&amp;"-"&amp;$D52,Import!$C:$H,5,FALSE)=0,"",VLOOKUP($C$3&amp;"-"&amp;$D52,Import!$C:$H,5,FALSE))</f>
        <v/>
      </c>
      <c r="S52" s="917" t="str">
        <f>IF(VLOOKUP($C$3&amp;"-"&amp;$D52,Import!$C:$H,6,FALSE)=0,"",VLOOKUP($C$3&amp;"-"&amp;$D52,Import!$C:$H,6,FALSE))</f>
        <v/>
      </c>
      <c r="T52" s="154"/>
      <c r="U52" s="252"/>
    </row>
    <row r="53" spans="1:21" s="296" customFormat="1" ht="45" customHeight="1" x14ac:dyDescent="0.2">
      <c r="A53" s="305"/>
      <c r="B53" s="380"/>
      <c r="C53" s="1015"/>
      <c r="D53" s="294" t="s">
        <v>200</v>
      </c>
      <c r="E53" s="468" t="str">
        <f>IF(VLOOKUP(CONCATENATE($C$3,"-",$D53),Languages!$A:$D,1,TRUE)=CONCATENATE($C$3,"-",$D53),VLOOKUP(CONCATENATE($C$3,"-",$D53),Languages!$A:$D,Summary!$C$7,TRUE),NA())</f>
        <v>OT-verkot ovat toiminnallisesti itsenäisiä IT-verkoista siten, että OT ympäristön toimintoja voidaan pitää yllä ja jatkaa myös IT-järjestelmien vikaantuessa. [Tulkintaohje: mikäli OT-verkkoja tai vastaavia ei ole, aseteta käytäntö "täysin toteutetuksi"]</v>
      </c>
      <c r="F53" s="287">
        <f t="shared" si="1"/>
        <v>0</v>
      </c>
      <c r="G53" s="307" t="s">
        <v>2542</v>
      </c>
      <c r="H53" s="443"/>
      <c r="I53" s="443"/>
      <c r="J53" s="443"/>
      <c r="K53" s="452"/>
      <c r="L53" s="154"/>
      <c r="M53" s="252"/>
      <c r="N53" s="149"/>
      <c r="O53" s="892" t="str">
        <f>VLOOKUP(VLOOKUP($C$3&amp;"-"&amp;$D53,Import!$C:$D,2,FALSE),Parameters!$C$18:$F$22,Summary!$C$7,FALSE)</f>
        <v xml:space="preserve">0 - Vastaus puuttuu </v>
      </c>
      <c r="P53" s="916" t="str">
        <f>IF(VLOOKUP($C$3&amp;"-"&amp;$D53,Import!$C:$H,3,FALSE)=0,"",VLOOKUP($C$3&amp;"-"&amp;$D53,Import!$C:$H,3,FALSE))</f>
        <v/>
      </c>
      <c r="Q53" s="916" t="str">
        <f>IF(VLOOKUP($C$3&amp;"-"&amp;$D53,Import!$C:$H,4,FALSE)=0,"",VLOOKUP($C$3&amp;"-"&amp;$D53,Import!$C:$H,4,FALSE))</f>
        <v/>
      </c>
      <c r="R53" s="916" t="str">
        <f>IF(VLOOKUP($C$3&amp;"-"&amp;$D53,Import!$C:$H,5,FALSE)=0,"",VLOOKUP($C$3&amp;"-"&amp;$D53,Import!$C:$H,5,FALSE))</f>
        <v/>
      </c>
      <c r="S53" s="917" t="str">
        <f>IF(VLOOKUP($C$3&amp;"-"&amp;$D53,Import!$C:$H,6,FALSE)=0,"",VLOOKUP($C$3&amp;"-"&amp;$D53,Import!$C:$H,6,FALSE))</f>
        <v/>
      </c>
      <c r="T53" s="154"/>
      <c r="U53" s="252"/>
    </row>
    <row r="54" spans="1:21" s="296" customFormat="1" ht="44.55" customHeight="1" x14ac:dyDescent="0.2">
      <c r="A54" s="305"/>
      <c r="B54" s="380"/>
      <c r="C54" s="1015"/>
      <c r="D54" s="294" t="s">
        <v>202</v>
      </c>
      <c r="E54" s="468" t="str">
        <f>IF(VLOOKUP(CONCATENATE($C$3,"-",$D54),Languages!$A:$D,1,TRUE)=CONCATENATE($C$3,"-",$D54),VLOOKUP(CONCATENATE($C$3,"-",$D54),Languages!$A:$D,Summary!$C$7,TRUE),NA())</f>
        <v>Laitteiden yhteyksiä verkkoon hallitaan siten, että vain luvalliset laitteet voivat muodostaa yhteyden (esimerkiksi laitetason pääsynhallinta (NAC)).</v>
      </c>
      <c r="F54" s="287">
        <f t="shared" si="1"/>
        <v>0</v>
      </c>
      <c r="G54" s="307" t="s">
        <v>2542</v>
      </c>
      <c r="H54" s="443"/>
      <c r="I54" s="443"/>
      <c r="J54" s="443"/>
      <c r="K54" s="452"/>
      <c r="L54" s="154"/>
      <c r="M54" s="252"/>
      <c r="N54" s="149"/>
      <c r="O54" s="892" t="str">
        <f>VLOOKUP(VLOOKUP($C$3&amp;"-"&amp;$D54,Import!$C:$D,2,FALSE),Parameters!$C$18:$F$22,Summary!$C$7,FALSE)</f>
        <v xml:space="preserve">0 - Vastaus puuttuu </v>
      </c>
      <c r="P54" s="916" t="str">
        <f>IF(VLOOKUP($C$3&amp;"-"&amp;$D54,Import!$C:$H,3,FALSE)=0,"",VLOOKUP($C$3&amp;"-"&amp;$D54,Import!$C:$H,3,FALSE))</f>
        <v/>
      </c>
      <c r="Q54" s="916" t="str">
        <f>IF(VLOOKUP($C$3&amp;"-"&amp;$D54,Import!$C:$H,4,FALSE)=0,"",VLOOKUP($C$3&amp;"-"&amp;$D54,Import!$C:$H,4,FALSE))</f>
        <v/>
      </c>
      <c r="R54" s="916" t="str">
        <f>IF(VLOOKUP($C$3&amp;"-"&amp;$D54,Import!$C:$H,5,FALSE)=0,"",VLOOKUP($C$3&amp;"-"&amp;$D54,Import!$C:$H,5,FALSE))</f>
        <v/>
      </c>
      <c r="S54" s="917" t="str">
        <f>IF(VLOOKUP($C$3&amp;"-"&amp;$D54,Import!$C:$H,6,FALSE)=0,"",VLOOKUP($C$3&amp;"-"&amp;$D54,Import!$C:$H,6,FALSE))</f>
        <v/>
      </c>
      <c r="T54" s="154"/>
      <c r="U54" s="252"/>
    </row>
    <row r="55" spans="1:21" s="296" customFormat="1" ht="34.950000000000003" customHeight="1" x14ac:dyDescent="0.2">
      <c r="A55" s="305"/>
      <c r="B55" s="380"/>
      <c r="C55" s="1014"/>
      <c r="D55" s="396" t="s">
        <v>203</v>
      </c>
      <c r="E55" s="474" t="str">
        <f>IF(VLOOKUP(CONCATENATE($C$3,"-",$D55),Languages!$A:$D,1,TRUE)=CONCATENATE($C$3,"-",$D55),VLOOKUP(CONCATENATE($C$3,"-",$D55),Languages!$A:$D,Summary!$C$7,TRUE),NA())</f>
        <v>Kyberarkkitehtuuri mahdollistaa saastuneiden laitteiden, ohjelmistojen ja tietovarantojen erottamisen muista.</v>
      </c>
      <c r="F55" s="393">
        <f t="shared" si="1"/>
        <v>0</v>
      </c>
      <c r="G55" s="449" t="s">
        <v>2542</v>
      </c>
      <c r="H55" s="444"/>
      <c r="I55" s="444"/>
      <c r="J55" s="444"/>
      <c r="K55" s="453"/>
      <c r="L55" s="154"/>
      <c r="M55" s="252"/>
      <c r="N55" s="149"/>
      <c r="O55" s="897" t="str">
        <f>VLOOKUP(VLOOKUP($C$3&amp;"-"&amp;$D55,Import!$C:$D,2,FALSE),Parameters!$C$18:$F$22,Summary!$C$7,FALSE)</f>
        <v xml:space="preserve">0 - Vastaus puuttuu </v>
      </c>
      <c r="P55" s="923" t="str">
        <f>IF(VLOOKUP($C$3&amp;"-"&amp;$D55,Import!$C:$H,3,FALSE)=0,"",VLOOKUP($C$3&amp;"-"&amp;$D55,Import!$C:$H,3,FALSE))</f>
        <v/>
      </c>
      <c r="Q55" s="923" t="str">
        <f>IF(VLOOKUP($C$3&amp;"-"&amp;$D55,Import!$C:$H,4,FALSE)=0,"",VLOOKUP($C$3&amp;"-"&amp;$D55,Import!$C:$H,4,FALSE))</f>
        <v/>
      </c>
      <c r="R55" s="923" t="str">
        <f>IF(VLOOKUP($C$3&amp;"-"&amp;$D55,Import!$C:$H,5,FALSE)=0,"",VLOOKUP($C$3&amp;"-"&amp;$D55,Import!$C:$H,5,FALSE))</f>
        <v/>
      </c>
      <c r="S55" s="924" t="str">
        <f>IF(VLOOKUP($C$3&amp;"-"&amp;$D55,Import!$C:$H,6,FALSE)=0,"",VLOOKUP($C$3&amp;"-"&amp;$D55,Import!$C:$H,6,FALSE))</f>
        <v/>
      </c>
      <c r="T55" s="154"/>
      <c r="U55" s="252"/>
    </row>
    <row r="56" spans="1:21" s="177" customFormat="1" ht="30" customHeight="1" x14ac:dyDescent="0.25">
      <c r="A56" s="166"/>
      <c r="B56" s="269"/>
      <c r="C56" s="170">
        <v>3</v>
      </c>
      <c r="D56" s="170" t="str">
        <f>IF(VLOOKUP(CONCATENATE($C$3,"-",C56),Languages!$A:$D,1,TRUE)=CONCATENATE($C$3,"-",C56),VLOOKUP(CONCATENATE($C$3,"-",C56),Languages!$A:$D,Summary!$C$7,TRUE),NA())</f>
        <v>Laitteiden ja ohjelmistojen turvallisuus osana kyberarkkitehtuuria</v>
      </c>
      <c r="E56" s="170"/>
      <c r="F56" s="292"/>
      <c r="G56" s="907"/>
      <c r="H56" s="929"/>
      <c r="I56" s="929"/>
      <c r="J56" s="929"/>
      <c r="K56" s="929"/>
      <c r="L56" s="154"/>
      <c r="M56" s="252"/>
      <c r="N56" s="149"/>
      <c r="O56" s="292"/>
      <c r="P56" s="293"/>
      <c r="Q56" s="293"/>
      <c r="R56" s="293"/>
      <c r="S56" s="293"/>
      <c r="T56" s="154"/>
      <c r="U56" s="252"/>
    </row>
    <row r="57" spans="1:21" s="285" customFormat="1" ht="19.95" customHeight="1" x14ac:dyDescent="0.2">
      <c r="A57" s="304"/>
      <c r="B57" s="279"/>
      <c r="C57" s="280" t="str">
        <f>IF(VLOOKUP("GEN-LEVEL",Languages!$A:$D,1,TRUE)="GEN-LEVEL",VLOOKUP("GEN-LEVEL",Languages!$A:$D,Summary!$C$7,TRUE),NA())</f>
        <v>Taso</v>
      </c>
      <c r="D57" s="280"/>
      <c r="E57" s="281" t="str">
        <f>IF(VLOOKUP("GEN-PRACTICE",Languages!$A:$D,1,TRUE)="GEN-PRACTICE",VLOOKUP("GEN-PRACTICE",Languages!$A:$D,Summary!$C$7,TRUE),NA())</f>
        <v>Käytäntö</v>
      </c>
      <c r="F57" s="282"/>
      <c r="G57" s="904" t="str">
        <f>IF(VLOOKUP("GEN-ANSWER",Languages!$A:$D,1,TRUE)="GEN-ANSWER",VLOOKUP("GEN-ANSWER",Languages!$A:$D,Summary!$C$7,TRUE),NA())</f>
        <v>Vastaus</v>
      </c>
      <c r="H57" s="905" t="str">
        <f>IF(VLOOKUP("KM112",Languages!$A:$D,1,TRUE)="KM112",VLOOKUP("KM112",Languages!$A:$D,Summary!$C$7,TRUE),NA())</f>
        <v>Kommentit</v>
      </c>
      <c r="I57" s="905" t="str">
        <f>IF(VLOOKUP("KM113",Languages!$A:$D,1,TRUE)="KM113",VLOOKUP("KM113",Languages!$A:$D,Summary!$C$7,TRUE),NA())</f>
        <v>Sisäinen viittaus</v>
      </c>
      <c r="J57" s="905" t="str">
        <f>IF(VLOOKUP("KM114",Languages!$A:$D,1,TRUE)="KM114",VLOOKUP("KM114",Languages!$A:$D,Summary!$C$7,TRUE),NA())</f>
        <v>Ulkoinen viittaus</v>
      </c>
      <c r="K57" s="905" t="str">
        <f>IF(VLOOKUP("KM115",Languages!$A:$D,1,TRUE)="KM115",VLOOKUP("KM115",Languages!$A:$D,Summary!$C$7,TRUE),NA())</f>
        <v>Kehityskohde</v>
      </c>
      <c r="L57" s="283"/>
      <c r="M57" s="284"/>
      <c r="N57" s="279"/>
      <c r="O57" s="463" t="str">
        <f>IF(VLOOKUP("GEN-ANSWER",Languages!$A:$D,1,TRUE)="GEN-ANSWER",VLOOKUP("GEN-ANSWER",Languages!$A:$D,Summary!$C$7,TRUE),NA())</f>
        <v>Vastaus</v>
      </c>
      <c r="P57" s="463" t="str">
        <f>IF(VLOOKUP("KM112",Languages!$A:$D,1,TRUE)="KM112",VLOOKUP("KM112",Languages!$A:$D,Summary!$C$7,TRUE),NA())</f>
        <v>Kommentit</v>
      </c>
      <c r="Q57" s="463" t="str">
        <f>IF(VLOOKUP("KM113",Languages!$A:$D,1,TRUE)="KM113",VLOOKUP("KM113",Languages!$A:$D,Summary!$C$7,TRUE),NA())</f>
        <v>Sisäinen viittaus</v>
      </c>
      <c r="R57" s="463" t="str">
        <f>IF(VLOOKUP("KM114",Languages!$A:$D,1,TRUE)="KM114",VLOOKUP("KM114",Languages!$A:$D,Summary!$C$7,TRUE),NA())</f>
        <v>Ulkoinen viittaus</v>
      </c>
      <c r="S57" s="463" t="str">
        <f>IF(VLOOKUP("KM115",Languages!$A:$D,1,TRUE)="KM115",VLOOKUP("KM115",Languages!$A:$D,Summary!$C$7,TRUE),NA())</f>
        <v>Kehityskohde</v>
      </c>
      <c r="T57" s="283"/>
      <c r="U57" s="284"/>
    </row>
    <row r="58" spans="1:21" s="296" customFormat="1" ht="45" customHeight="1" x14ac:dyDescent="0.2">
      <c r="A58" s="305"/>
      <c r="B58" s="380"/>
      <c r="C58" s="1214">
        <v>1</v>
      </c>
      <c r="D58" s="399" t="s">
        <v>22</v>
      </c>
      <c r="E58" s="466" t="str">
        <f>IF(VLOOKUP(CONCATENATE($C$3,"-",$D58),Languages!$A:$D,1,TRUE)=CONCATENATE($C$3,"-",$D58),VLOOKUP(CONCATENATE($C$3,"-",$D58),Languages!$A:$D,Summary!$C$7,TRUE),NA())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58" s="391">
        <f t="shared" ref="F58:F70" si="2">IFERROR(INT(LEFT($G58,1)),0)</f>
        <v>0</v>
      </c>
      <c r="G58" s="456" t="s">
        <v>2542</v>
      </c>
      <c r="H58" s="454"/>
      <c r="I58" s="454"/>
      <c r="J58" s="454"/>
      <c r="K58" s="455"/>
      <c r="L58" s="154"/>
      <c r="M58" s="252"/>
      <c r="N58" s="149"/>
      <c r="O58" s="886" t="str">
        <f>VLOOKUP(VLOOKUP($C$3&amp;"-"&amp;$D58,Import!$C:$D,2,FALSE),Parameters!$C$18:$F$22,Summary!$C$7,FALSE)</f>
        <v xml:space="preserve">0 - Vastaus puuttuu </v>
      </c>
      <c r="P58" s="925" t="str">
        <f>IF(VLOOKUP($C$3&amp;"-"&amp;$D58,Import!$C:$H,3,FALSE)=0,"",VLOOKUP($C$3&amp;"-"&amp;$D58,Import!$C:$H,3,FALSE))</f>
        <v/>
      </c>
      <c r="Q58" s="925" t="str">
        <f>IF(VLOOKUP($C$3&amp;"-"&amp;$D58,Import!$C:$H,4,FALSE)=0,"",VLOOKUP($C$3&amp;"-"&amp;$D58,Import!$C:$H,4,FALSE))</f>
        <v/>
      </c>
      <c r="R58" s="925" t="str">
        <f>IF(VLOOKUP($C$3&amp;"-"&amp;$D58,Import!$C:$H,5,FALSE)=0,"",VLOOKUP($C$3&amp;"-"&amp;$D58,Import!$C:$H,5,FALSE))</f>
        <v/>
      </c>
      <c r="S58" s="926" t="str">
        <f>IF(VLOOKUP($C$3&amp;"-"&amp;$D58,Import!$C:$H,6,FALSE)=0,"",VLOOKUP($C$3&amp;"-"&amp;$D58,Import!$C:$H,6,FALSE))</f>
        <v/>
      </c>
      <c r="T58" s="154"/>
      <c r="U58" s="252"/>
    </row>
    <row r="59" spans="1:21" s="296" customFormat="1" ht="34.950000000000003" customHeight="1" x14ac:dyDescent="0.2">
      <c r="A59" s="305"/>
      <c r="B59" s="297"/>
      <c r="C59" s="1215"/>
      <c r="D59" s="399" t="s">
        <v>23</v>
      </c>
      <c r="E59" s="466" t="str">
        <f>IF(VLOOKUP(CONCATENATE($C$3,"-",$D59),Languages!$A:$D,1,TRUE)=CONCATENATE($C$3,"-",$D59),VLOOKUP(CONCATENATE($C$3,"-",$D59),Languages!$A:$D,Summary!$C$7,TRUE),NA())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59" s="391">
        <f t="shared" si="2"/>
        <v>0</v>
      </c>
      <c r="G59" s="456" t="s">
        <v>2542</v>
      </c>
      <c r="H59" s="454"/>
      <c r="I59" s="454"/>
      <c r="J59" s="454"/>
      <c r="K59" s="455"/>
      <c r="L59" s="154"/>
      <c r="M59" s="252"/>
      <c r="N59" s="149"/>
      <c r="O59" s="886" t="str">
        <f>VLOOKUP(VLOOKUP($C$3&amp;"-"&amp;$D59,Import!$C:$D,2,FALSE),Parameters!$C$18:$F$22,Summary!$C$7,FALSE)</f>
        <v xml:space="preserve">0 - Vastaus puuttuu </v>
      </c>
      <c r="P59" s="925" t="str">
        <f>IF(VLOOKUP($C$3&amp;"-"&amp;$D59,Import!$C:$H,3,FALSE)=0,"",VLOOKUP($C$3&amp;"-"&amp;$D59,Import!$C:$H,3,FALSE))</f>
        <v/>
      </c>
      <c r="Q59" s="925" t="str">
        <f>IF(VLOOKUP($C$3&amp;"-"&amp;$D59,Import!$C:$H,4,FALSE)=0,"",VLOOKUP($C$3&amp;"-"&amp;$D59,Import!$C:$H,4,FALSE))</f>
        <v/>
      </c>
      <c r="R59" s="925" t="str">
        <f>IF(VLOOKUP($C$3&amp;"-"&amp;$D59,Import!$C:$H,5,FALSE)=0,"",VLOOKUP($C$3&amp;"-"&amp;$D59,Import!$C:$H,5,FALSE))</f>
        <v/>
      </c>
      <c r="S59" s="926" t="str">
        <f>IF(VLOOKUP($C$3&amp;"-"&amp;$D59,Import!$C:$H,6,FALSE)=0,"",VLOOKUP($C$3&amp;"-"&amp;$D59,Import!$C:$H,6,FALSE))</f>
        <v/>
      </c>
      <c r="T59" s="154"/>
      <c r="U59" s="252"/>
    </row>
    <row r="60" spans="1:21" s="296" customFormat="1" ht="34.950000000000003" customHeight="1" x14ac:dyDescent="0.2">
      <c r="A60" s="305"/>
      <c r="B60" s="297"/>
      <c r="C60" s="1207">
        <v>2</v>
      </c>
      <c r="D60" s="395" t="s">
        <v>24</v>
      </c>
      <c r="E60" s="467" t="str">
        <f>IF(VLOOKUP(CONCATENATE($C$3,"-",$D60),Languages!$A:$D,1,TRUE)=CONCATENATE($C$3,"-",$D60),VLOOKUP(CONCATENATE($C$3,"-",$D60),Languages!$A:$D,Summary!$C$7,TRUE),NA())</f>
        <v>Pienimmän käyttöoikeuden periaate on pantu täytäntöön (esimerkiksi rajoittamalla hallinta- tai ylläpitotunnusten oikeuksia).</v>
      </c>
      <c r="F60" s="386">
        <f t="shared" si="2"/>
        <v>0</v>
      </c>
      <c r="G60" s="445" t="s">
        <v>2542</v>
      </c>
      <c r="H60" s="442"/>
      <c r="I60" s="442"/>
      <c r="J60" s="442"/>
      <c r="K60" s="451"/>
      <c r="L60" s="154"/>
      <c r="M60" s="252"/>
      <c r="N60" s="149"/>
      <c r="O60" s="889" t="str">
        <f>VLOOKUP(VLOOKUP($C$3&amp;"-"&amp;$D60,Import!$C:$D,2,FALSE),Parameters!$C$18:$F$22,Summary!$C$7,FALSE)</f>
        <v xml:space="preserve">0 - Vastaus puuttuu </v>
      </c>
      <c r="P60" s="921" t="str">
        <f>IF(VLOOKUP($C$3&amp;"-"&amp;$D60,Import!$C:$H,3,FALSE)=0,"",VLOOKUP($C$3&amp;"-"&amp;$D60,Import!$C:$H,3,FALSE))</f>
        <v/>
      </c>
      <c r="Q60" s="921" t="str">
        <f>IF(VLOOKUP($C$3&amp;"-"&amp;$D60,Import!$C:$H,4,FALSE)=0,"",VLOOKUP($C$3&amp;"-"&amp;$D60,Import!$C:$H,4,FALSE))</f>
        <v/>
      </c>
      <c r="R60" s="921" t="str">
        <f>IF(VLOOKUP($C$3&amp;"-"&amp;$D60,Import!$C:$H,5,FALSE)=0,"",VLOOKUP($C$3&amp;"-"&amp;$D60,Import!$C:$H,5,FALSE))</f>
        <v/>
      </c>
      <c r="S60" s="922" t="str">
        <f>IF(VLOOKUP($C$3&amp;"-"&amp;$D60,Import!$C:$H,6,FALSE)=0,"",VLOOKUP($C$3&amp;"-"&amp;$D60,Import!$C:$H,6,FALSE))</f>
        <v/>
      </c>
      <c r="T60" s="154"/>
      <c r="U60" s="252"/>
    </row>
    <row r="61" spans="1:21" s="296" customFormat="1" ht="40.799999999999997" customHeight="1" x14ac:dyDescent="0.2">
      <c r="A61" s="305"/>
      <c r="B61" s="297"/>
      <c r="C61" s="1212"/>
      <c r="D61" s="294" t="s">
        <v>25</v>
      </c>
      <c r="E61" s="468" t="str">
        <f>IF(VLOOKUP(CONCATENATE($C$3,"-",$D61),Languages!$A:$D,1,TRUE)=CONCATENATE($C$3,"-",$D61),VLOOKUP(CONCATENATE($C$3,"-",$D61),Languages!$A:$D,Summary!$C$7,TRUE),NA())</f>
        <v>Pienimmän toiminnallisuuden periaate on pantu täytäntöön (esim. rajoittamalla käytettäviä palveluita, ohjelmia, portteja tai liitettäviä laitteita).</v>
      </c>
      <c r="F61" s="287">
        <f t="shared" si="2"/>
        <v>0</v>
      </c>
      <c r="G61" s="307" t="s">
        <v>2542</v>
      </c>
      <c r="H61" s="443"/>
      <c r="I61" s="443"/>
      <c r="J61" s="443"/>
      <c r="K61" s="452"/>
      <c r="L61" s="154"/>
      <c r="M61" s="252"/>
      <c r="N61" s="149"/>
      <c r="O61" s="892" t="str">
        <f>VLOOKUP(VLOOKUP($C$3&amp;"-"&amp;$D61,Import!$C:$D,2,FALSE),Parameters!$C$18:$F$22,Summary!$C$7,FALSE)</f>
        <v xml:space="preserve">0 - Vastaus puuttuu </v>
      </c>
      <c r="P61" s="916" t="str">
        <f>IF(VLOOKUP($C$3&amp;"-"&amp;$D61,Import!$C:$H,3,FALSE)=0,"",VLOOKUP($C$3&amp;"-"&amp;$D61,Import!$C:$H,3,FALSE))</f>
        <v/>
      </c>
      <c r="Q61" s="916" t="str">
        <f>IF(VLOOKUP($C$3&amp;"-"&amp;$D61,Import!$C:$H,4,FALSE)=0,"",VLOOKUP($C$3&amp;"-"&amp;$D61,Import!$C:$H,4,FALSE))</f>
        <v/>
      </c>
      <c r="R61" s="916" t="str">
        <f>IF(VLOOKUP($C$3&amp;"-"&amp;$D61,Import!$C:$H,5,FALSE)=0,"",VLOOKUP($C$3&amp;"-"&amp;$D61,Import!$C:$H,5,FALSE))</f>
        <v/>
      </c>
      <c r="S61" s="917" t="str">
        <f>IF(VLOOKUP($C$3&amp;"-"&amp;$D61,Import!$C:$H,6,FALSE)=0,"",VLOOKUP($C$3&amp;"-"&amp;$D61,Import!$C:$H,6,FALSE))</f>
        <v/>
      </c>
      <c r="T61" s="154"/>
      <c r="U61" s="252"/>
    </row>
    <row r="62" spans="1:21" s="296" customFormat="1" ht="34.950000000000003" customHeight="1" x14ac:dyDescent="0.2">
      <c r="A62" s="305"/>
      <c r="B62" s="297"/>
      <c r="C62" s="1212"/>
      <c r="D62" s="294" t="s">
        <v>26</v>
      </c>
      <c r="E62" s="468" t="str">
        <f>IF(VLOOKUP(CONCATENATE($C$3,"-",$D62),Languages!$A:$D,1,TRUE)=CONCATENATE($C$3,"-",$D62),VLOOKUP(CONCATENATE($C$3,"-",$D62),Languages!$A:$D,Summary!$C$7,TRUE),NA())</f>
        <v xml:space="preserve">Turvallisia konfiguraatiota on määritelty ja niitä ylläpidetään sekä käytetään osana laitteiden, ohjelmistojen ja tietovarantojen käyttöönottoprosessia, mikäli tehtävissä / toteutettavissa. </v>
      </c>
      <c r="F62" s="287">
        <f t="shared" si="2"/>
        <v>0</v>
      </c>
      <c r="G62" s="307" t="s">
        <v>2542</v>
      </c>
      <c r="H62" s="443"/>
      <c r="I62" s="443"/>
      <c r="J62" s="443"/>
      <c r="K62" s="452"/>
      <c r="L62" s="154"/>
      <c r="M62" s="252"/>
      <c r="N62" s="149"/>
      <c r="O62" s="892" t="str">
        <f>VLOOKUP(VLOOKUP($C$3&amp;"-"&amp;$D62,Import!$C:$D,2,FALSE),Parameters!$C$18:$F$22,Summary!$C$7,FALSE)</f>
        <v xml:space="preserve">0 - Vastaus puuttuu </v>
      </c>
      <c r="P62" s="916" t="str">
        <f>IF(VLOOKUP($C$3&amp;"-"&amp;$D62,Import!$C:$H,3,FALSE)=0,"",VLOOKUP($C$3&amp;"-"&amp;$D62,Import!$C:$H,3,FALSE))</f>
        <v/>
      </c>
      <c r="Q62" s="916" t="str">
        <f>IF(VLOOKUP($C$3&amp;"-"&amp;$D62,Import!$C:$H,4,FALSE)=0,"",VLOOKUP($C$3&amp;"-"&amp;$D62,Import!$C:$H,4,FALSE))</f>
        <v/>
      </c>
      <c r="R62" s="916" t="str">
        <f>IF(VLOOKUP($C$3&amp;"-"&amp;$D62,Import!$C:$H,5,FALSE)=0,"",VLOOKUP($C$3&amp;"-"&amp;$D62,Import!$C:$H,5,FALSE))</f>
        <v/>
      </c>
      <c r="S62" s="917" t="str">
        <f>IF(VLOOKUP($C$3&amp;"-"&amp;$D62,Import!$C:$H,6,FALSE)=0,"",VLOOKUP($C$3&amp;"-"&amp;$D62,Import!$C:$H,6,FALSE))</f>
        <v/>
      </c>
      <c r="T62" s="154"/>
      <c r="U62" s="252"/>
    </row>
    <row r="63" spans="1:21" s="296" customFormat="1" ht="45" customHeight="1" x14ac:dyDescent="0.2">
      <c r="A63" s="305"/>
      <c r="B63" s="380"/>
      <c r="C63" s="1212"/>
      <c r="D63" s="294" t="s">
        <v>27</v>
      </c>
      <c r="E63" s="468" t="str">
        <f>IF(VLOOKUP(CONCATENATE($C$3,"-",$D63),Languages!$A:$D,1,TRUE)=CONCATENATE($C$3,"-",$D63),VLOOKUP(CONCATENATE($C$3,"-",$D63),Languages!$A:$D,Summary!$C$7,TRUE),NA())</f>
        <v>Tietoturvaohjelmistot vaaditaan soveltuvin osin osana laitteiden konfiguraatiota (esimerkiksi päätelaitteen turva- ja havainnointiratkaisut tai päätelaitekohtaiset palomuuriratkaisut).</v>
      </c>
      <c r="F63" s="287">
        <f t="shared" si="2"/>
        <v>0</v>
      </c>
      <c r="G63" s="307" t="s">
        <v>2542</v>
      </c>
      <c r="H63" s="443"/>
      <c r="I63" s="443"/>
      <c r="J63" s="443"/>
      <c r="K63" s="452"/>
      <c r="L63" s="154"/>
      <c r="M63" s="252"/>
      <c r="N63" s="149"/>
      <c r="O63" s="892" t="str">
        <f>VLOOKUP(VLOOKUP($C$3&amp;"-"&amp;$D63,Import!$C:$D,2,FALSE),Parameters!$C$18:$F$22,Summary!$C$7,FALSE)</f>
        <v xml:space="preserve">0 - Vastaus puuttuu </v>
      </c>
      <c r="P63" s="916" t="str">
        <f>IF(VLOOKUP($C$3&amp;"-"&amp;$D63,Import!$C:$H,3,FALSE)=0,"",VLOOKUP($C$3&amp;"-"&amp;$D63,Import!$C:$H,3,FALSE))</f>
        <v/>
      </c>
      <c r="Q63" s="916" t="str">
        <f>IF(VLOOKUP($C$3&amp;"-"&amp;$D63,Import!$C:$H,4,FALSE)=0,"",VLOOKUP($C$3&amp;"-"&amp;$D63,Import!$C:$H,4,FALSE))</f>
        <v/>
      </c>
      <c r="R63" s="916" t="str">
        <f>IF(VLOOKUP($C$3&amp;"-"&amp;$D63,Import!$C:$H,5,FALSE)=0,"",VLOOKUP($C$3&amp;"-"&amp;$D63,Import!$C:$H,5,FALSE))</f>
        <v/>
      </c>
      <c r="S63" s="917" t="str">
        <f>IF(VLOOKUP($C$3&amp;"-"&amp;$D63,Import!$C:$H,6,FALSE)=0,"",VLOOKUP($C$3&amp;"-"&amp;$D63,Import!$C:$H,6,FALSE))</f>
        <v/>
      </c>
      <c r="T63" s="154"/>
      <c r="U63" s="252"/>
    </row>
    <row r="64" spans="1:21" s="296" customFormat="1" ht="34.950000000000003" customHeight="1" x14ac:dyDescent="0.2">
      <c r="A64" s="305"/>
      <c r="B64" s="380"/>
      <c r="C64" s="1212"/>
      <c r="D64" s="294" t="s">
        <v>28</v>
      </c>
      <c r="E64" s="468" t="str">
        <f>IF(VLOOKUP(CONCATENATE($C$3,"-",$D64),Languages!$A:$D,1,TRUE)=CONCATENATE($C$3,"-",$D64),VLOOKUP(CONCATENATE($C$3,"-",$D64),Languages!$A:$D,Summary!$C$7,TRUE),NA())</f>
        <v>Siirrettäviä ja irrotettavia muistilaitteita valvotaan (esimerkiksi rajoittamalla USB-laitteiden tai ulkoisten levyjen käyttöä).</v>
      </c>
      <c r="F64" s="287">
        <f t="shared" si="2"/>
        <v>0</v>
      </c>
      <c r="G64" s="307" t="s">
        <v>2542</v>
      </c>
      <c r="H64" s="443"/>
      <c r="I64" s="443"/>
      <c r="J64" s="443"/>
      <c r="K64" s="452"/>
      <c r="L64" s="154"/>
      <c r="M64" s="252"/>
      <c r="N64" s="149"/>
      <c r="O64" s="892" t="str">
        <f>VLOOKUP(VLOOKUP($C$3&amp;"-"&amp;$D64,Import!$C:$D,2,FALSE),Parameters!$C$18:$F$22,Summary!$C$7,FALSE)</f>
        <v xml:space="preserve">0 - Vastaus puuttuu </v>
      </c>
      <c r="P64" s="916" t="str">
        <f>IF(VLOOKUP($C$3&amp;"-"&amp;$D64,Import!$C:$H,3,FALSE)=0,"",VLOOKUP($C$3&amp;"-"&amp;$D64,Import!$C:$H,3,FALSE))</f>
        <v/>
      </c>
      <c r="Q64" s="916" t="str">
        <f>IF(VLOOKUP($C$3&amp;"-"&amp;$D64,Import!$C:$H,4,FALSE)=0,"",VLOOKUP($C$3&amp;"-"&amp;$D64,Import!$C:$H,4,FALSE))</f>
        <v/>
      </c>
      <c r="R64" s="916" t="str">
        <f>IF(VLOOKUP($C$3&amp;"-"&amp;$D64,Import!$C:$H,5,FALSE)=0,"",VLOOKUP($C$3&amp;"-"&amp;$D64,Import!$C:$H,5,FALSE))</f>
        <v/>
      </c>
      <c r="S64" s="917" t="str">
        <f>IF(VLOOKUP($C$3&amp;"-"&amp;$D64,Import!$C:$H,6,FALSE)=0,"",VLOOKUP($C$3&amp;"-"&amp;$D64,Import!$C:$H,6,FALSE))</f>
        <v/>
      </c>
      <c r="T64" s="154"/>
      <c r="U64" s="252"/>
    </row>
    <row r="65" spans="1:21" s="296" customFormat="1" ht="60" customHeight="1" x14ac:dyDescent="0.2">
      <c r="A65" s="305"/>
      <c r="B65" s="380"/>
      <c r="C65" s="1212"/>
      <c r="D65" s="396" t="s">
        <v>232</v>
      </c>
      <c r="E65" s="474" t="str">
        <f>IF(VLOOKUP(CONCATENATE($C$3,"-",$D65),Languages!$A:$D,1,TRUE)=CONCATENATE($C$3,"-",$D65),VLOOKUP(CONCATENATE($C$3,"-",$D65),Languages!$A:$D,Summary!$C$7,TRUE),NA())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65" s="393">
        <f t="shared" si="2"/>
        <v>0</v>
      </c>
      <c r="G65" s="449" t="s">
        <v>2542</v>
      </c>
      <c r="H65" s="444"/>
      <c r="I65" s="444"/>
      <c r="J65" s="444"/>
      <c r="K65" s="453"/>
      <c r="L65" s="154"/>
      <c r="M65" s="252"/>
      <c r="N65" s="149"/>
      <c r="O65" s="897" t="str">
        <f>VLOOKUP(VLOOKUP($C$3&amp;"-"&amp;$D65,Import!$C:$D,2,FALSE),Parameters!$C$18:$F$22,Summary!$C$7,FALSE)</f>
        <v xml:space="preserve">0 - Vastaus puuttuu </v>
      </c>
      <c r="P65" s="923" t="str">
        <f>IF(VLOOKUP($C$3&amp;"-"&amp;$D65,Import!$C:$H,3,FALSE)=0,"",VLOOKUP($C$3&amp;"-"&amp;$D65,Import!$C:$H,3,FALSE))</f>
        <v/>
      </c>
      <c r="Q65" s="923" t="str">
        <f>IF(VLOOKUP($C$3&amp;"-"&amp;$D65,Import!$C:$H,4,FALSE)=0,"",VLOOKUP($C$3&amp;"-"&amp;$D65,Import!$C:$H,4,FALSE))</f>
        <v/>
      </c>
      <c r="R65" s="923" t="str">
        <f>IF(VLOOKUP($C$3&amp;"-"&amp;$D65,Import!$C:$H,5,FALSE)=0,"",VLOOKUP($C$3&amp;"-"&amp;$D65,Import!$C:$H,5,FALSE))</f>
        <v/>
      </c>
      <c r="S65" s="924" t="str">
        <f>IF(VLOOKUP($C$3&amp;"-"&amp;$D65,Import!$C:$H,6,FALSE)=0,"",VLOOKUP($C$3&amp;"-"&amp;$D65,Import!$C:$H,6,FALSE))</f>
        <v/>
      </c>
      <c r="T65" s="154"/>
      <c r="U65" s="252"/>
    </row>
    <row r="66" spans="1:21" s="296" customFormat="1" ht="34.950000000000003" customHeight="1" x14ac:dyDescent="0.2">
      <c r="A66" s="305"/>
      <c r="B66" s="380"/>
      <c r="C66" s="1212"/>
      <c r="D66" s="395" t="s">
        <v>264</v>
      </c>
      <c r="E66" s="467" t="str">
        <f>IF(VLOOKUP(CONCATENATE($C$3,"-",$D66),Languages!$A:$D,1,TRUE)=CONCATENATE($C$3,"-",$D66),VLOOKUP(CONCATENATE($C$3,"-",$D66),Languages!$A:$D,Summary!$C$7,TRUE),NA())</f>
        <v xml:space="preserve">Ylläpidon ja kapasiteetinhallinnan toimenpiteitä tehdään kaikille toiminnon laitteille, ohjelmistoille ja tietovarannoille. (omaisuuserät, assets) </v>
      </c>
      <c r="F66" s="386">
        <f t="shared" si="2"/>
        <v>0</v>
      </c>
      <c r="G66" s="445" t="s">
        <v>2542</v>
      </c>
      <c r="H66" s="442"/>
      <c r="I66" s="442"/>
      <c r="J66" s="442"/>
      <c r="K66" s="451"/>
      <c r="L66" s="154"/>
      <c r="M66" s="252"/>
      <c r="N66" s="149"/>
      <c r="O66" s="889" t="str">
        <f>VLOOKUP(VLOOKUP($C$3&amp;"-"&amp;$D66,Import!$C:$D,2,FALSE),Parameters!$C$18:$F$22,Summary!$C$7,FALSE)</f>
        <v xml:space="preserve">0 - Vastaus puuttuu </v>
      </c>
      <c r="P66" s="921" t="str">
        <f>IF(VLOOKUP($C$3&amp;"-"&amp;$D66,Import!$C:$H,3,FALSE)=0,"",VLOOKUP($C$3&amp;"-"&amp;$D66,Import!$C:$H,3,FALSE))</f>
        <v/>
      </c>
      <c r="Q66" s="921" t="str">
        <f>IF(VLOOKUP($C$3&amp;"-"&amp;$D66,Import!$C:$H,4,FALSE)=0,"",VLOOKUP($C$3&amp;"-"&amp;$D66,Import!$C:$H,4,FALSE))</f>
        <v/>
      </c>
      <c r="R66" s="921" t="str">
        <f>IF(VLOOKUP($C$3&amp;"-"&amp;$D66,Import!$C:$H,5,FALSE)=0,"",VLOOKUP($C$3&amp;"-"&amp;$D66,Import!$C:$H,5,FALSE))</f>
        <v/>
      </c>
      <c r="S66" s="922" t="str">
        <f>IF(VLOOKUP($C$3&amp;"-"&amp;$D66,Import!$C:$H,6,FALSE)=0,"",VLOOKUP($C$3&amp;"-"&amp;$D66,Import!$C:$H,6,FALSE))</f>
        <v/>
      </c>
      <c r="T66" s="154"/>
      <c r="U66" s="252"/>
    </row>
    <row r="67" spans="1:21" s="296" customFormat="1" ht="34.950000000000003" customHeight="1" x14ac:dyDescent="0.2">
      <c r="A67" s="305"/>
      <c r="B67" s="1013"/>
      <c r="C67" s="1212"/>
      <c r="D67" s="1020" t="s">
        <v>266</v>
      </c>
      <c r="E67" s="474" t="str">
        <f>IF(VLOOKUP(CONCATENATE($C$3,"-",$D67),Languages!$A:$D,1,TRUE)=CONCATENATE($C$3,"-",$D67),VLOOKUP(CONCATENATE($C$3,"-",$D67),Languages!$A:$D,Summary!$C$7,TRUE),NA())</f>
        <v>Toiminnon laitteiden, ohjelmistojen ja tietovarantojen toimintaa suojataan valvomalla / hallitsemalla myös fyysistä toimintaympäristöä.</v>
      </c>
      <c r="F67" s="386">
        <f t="shared" si="2"/>
        <v>0</v>
      </c>
      <c r="G67" s="1021" t="s">
        <v>2542</v>
      </c>
      <c r="H67" s="1022"/>
      <c r="I67" s="1022"/>
      <c r="J67" s="1022"/>
      <c r="K67" s="1023"/>
      <c r="L67" s="154"/>
      <c r="M67" s="252"/>
      <c r="N67" s="149"/>
      <c r="O67" s="889" t="str">
        <f>VLOOKUP(VLOOKUP($C$3&amp;"-"&amp;$D67,Import!$C:$D,2,FALSE),Parameters!$C$18:$F$22,Summary!$C$7,FALSE)</f>
        <v xml:space="preserve">0 - Vastaus puuttuu </v>
      </c>
      <c r="P67" s="921" t="str">
        <f>IF(VLOOKUP($C$3&amp;"-"&amp;$D67,Import!$C:$H,3,FALSE)=0,"",VLOOKUP($C$3&amp;"-"&amp;$D67,Import!$C:$H,3,FALSE))</f>
        <v/>
      </c>
      <c r="Q67" s="921" t="str">
        <f>IF(VLOOKUP($C$3&amp;"-"&amp;$D67,Import!$C:$H,4,FALSE)=0,"",VLOOKUP($C$3&amp;"-"&amp;$D67,Import!$C:$H,4,FALSE))</f>
        <v/>
      </c>
      <c r="R67" s="921" t="str">
        <f>IF(VLOOKUP($C$3&amp;"-"&amp;$D67,Import!$C:$H,5,FALSE)=0,"",VLOOKUP($C$3&amp;"-"&amp;$D67,Import!$C:$H,5,FALSE))</f>
        <v/>
      </c>
      <c r="S67" s="922" t="str">
        <f>IF(VLOOKUP($C$3&amp;"-"&amp;$D67,Import!$C:$H,6,FALSE)=0,"",VLOOKUP($C$3&amp;"-"&amp;$D67,Import!$C:$H,6,FALSE))</f>
        <v/>
      </c>
      <c r="T67" s="154"/>
      <c r="U67" s="252"/>
    </row>
    <row r="68" spans="1:21" s="296" customFormat="1" ht="34.950000000000003" customHeight="1" x14ac:dyDescent="0.2">
      <c r="A68" s="305"/>
      <c r="B68" s="1013"/>
      <c r="C68" s="1208"/>
      <c r="D68" s="1052" t="s">
        <v>361</v>
      </c>
      <c r="E68" s="474" t="str">
        <f>IF(VLOOKUP(CONCATENATE($C$3,"-",$D68),Languages!$A:$D,1,TRUE)=CONCATENATE($C$3,"-",$D68),VLOOKUP(CONCATENATE($C$3,"-",$D68),Languages!$A:$D,Summary!$C$7,TRUE),NA())</f>
        <v>Korkean prioriteetin laitteille, ohjelmistoille ja tietovarannoille asetetaan tarkempia kyberturvallisuuskontrolleja / hallintakeinoja.</v>
      </c>
      <c r="F68" s="391">
        <f t="shared" si="2"/>
        <v>0</v>
      </c>
      <c r="G68" s="492" t="s">
        <v>2542</v>
      </c>
      <c r="H68" s="1053"/>
      <c r="I68" s="1053"/>
      <c r="J68" s="1053"/>
      <c r="K68" s="1054"/>
      <c r="L68" s="154"/>
      <c r="M68" s="252"/>
      <c r="N68" s="149"/>
      <c r="O68" s="886" t="str">
        <f>VLOOKUP(VLOOKUP($C$3&amp;"-"&amp;$D68,Import!$C:$D,2,FALSE),Parameters!$C$18:$F$22,Summary!$C$7,FALSE)</f>
        <v xml:space="preserve">0 - Vastaus puuttuu </v>
      </c>
      <c r="P68" s="921" t="str">
        <f>IF(VLOOKUP($C$3&amp;"-"&amp;$D68,Import!$C:$H,3,FALSE)=0,"",VLOOKUP($C$3&amp;"-"&amp;$D68,Import!$C:$H,3,FALSE))</f>
        <v/>
      </c>
      <c r="Q68" s="921" t="str">
        <f>IF(VLOOKUP($C$3&amp;"-"&amp;$D68,Import!$C:$H,4,FALSE)=0,"",VLOOKUP($C$3&amp;"-"&amp;$D68,Import!$C:$H,4,FALSE))</f>
        <v/>
      </c>
      <c r="R68" s="921" t="str">
        <f>IF(VLOOKUP($C$3&amp;"-"&amp;$D68,Import!$C:$H,5,FALSE)=0,"",VLOOKUP($C$3&amp;"-"&amp;$D68,Import!$C:$H,5,FALSE))</f>
        <v/>
      </c>
      <c r="S68" s="922" t="str">
        <f>IF(VLOOKUP($C$3&amp;"-"&amp;$D68,Import!$C:$H,6,FALSE)=0,"",VLOOKUP($C$3&amp;"-"&amp;$D68,Import!$C:$H,6,FALSE))</f>
        <v/>
      </c>
      <c r="T68" s="154"/>
      <c r="U68" s="252"/>
    </row>
    <row r="69" spans="1:21" s="296" customFormat="1" ht="34.950000000000003" customHeight="1" x14ac:dyDescent="0.2">
      <c r="A69" s="305"/>
      <c r="B69" s="1013"/>
      <c r="C69" s="1015">
        <v>3</v>
      </c>
      <c r="D69" s="1020" t="s">
        <v>2799</v>
      </c>
      <c r="E69" s="1051" t="str">
        <f>IF(VLOOKUP(CONCATENATE($C$3,"-",$D69),Languages!$A:$D,1,TRUE)=CONCATENATE($C$3,"-",$D69),VLOOKUP(CONCATENATE($C$3,"-",$D69),Languages!$A:$D,Summary!$C$7,TRUE),NA())</f>
        <v>Laiteohjelmistojen (firmware) konfiguraatioita ja muutoksia hallitaan koko laitteen eliniän ajan.</v>
      </c>
      <c r="F69" s="394">
        <f t="shared" si="2"/>
        <v>0</v>
      </c>
      <c r="G69" s="1021" t="s">
        <v>2542</v>
      </c>
      <c r="H69" s="1022"/>
      <c r="I69" s="1022"/>
      <c r="J69" s="1022"/>
      <c r="K69" s="1023"/>
      <c r="L69" s="154"/>
      <c r="M69" s="252"/>
      <c r="N69" s="149"/>
      <c r="O69" s="913" t="str">
        <f>VLOOKUP(VLOOKUP($C$3&amp;"-"&amp;$D69,Import!$C:$D,2,FALSE),Parameters!$C$18:$F$22,Summary!$C$7,FALSE)</f>
        <v xml:space="preserve">0 - Vastaus puuttuu </v>
      </c>
      <c r="P69" s="921" t="str">
        <f>IF(VLOOKUP($C$3&amp;"-"&amp;$D69,Import!$C:$H,3,FALSE)=0,"",VLOOKUP($C$3&amp;"-"&amp;$D69,Import!$C:$H,3,FALSE))</f>
        <v/>
      </c>
      <c r="Q69" s="921" t="str">
        <f>IF(VLOOKUP($C$3&amp;"-"&amp;$D69,Import!$C:$H,4,FALSE)=0,"",VLOOKUP($C$3&amp;"-"&amp;$D69,Import!$C:$H,4,FALSE))</f>
        <v/>
      </c>
      <c r="R69" s="921" t="str">
        <f>IF(VLOOKUP($C$3&amp;"-"&amp;$D69,Import!$C:$H,5,FALSE)=0,"",VLOOKUP($C$3&amp;"-"&amp;$D69,Import!$C:$H,5,FALSE))</f>
        <v/>
      </c>
      <c r="S69" s="922" t="str">
        <f>IF(VLOOKUP($C$3&amp;"-"&amp;$D69,Import!$C:$H,6,FALSE)=0,"",VLOOKUP($C$3&amp;"-"&amp;$D69,Import!$C:$H,6,FALSE))</f>
        <v/>
      </c>
      <c r="T69" s="154"/>
      <c r="U69" s="252"/>
    </row>
    <row r="70" spans="1:21" s="296" customFormat="1" ht="34.950000000000003" customHeight="1" x14ac:dyDescent="0.2">
      <c r="A70" s="305"/>
      <c r="B70" s="380"/>
      <c r="C70" s="1014">
        <v>3</v>
      </c>
      <c r="D70" s="396" t="s">
        <v>2800</v>
      </c>
      <c r="E70" s="474" t="str">
        <f>IF(VLOOKUP(CONCATENATE($C$3,"-",$D70),Languages!$A:$D,1,TRUE)=CONCATENATE($C$3,"-",$D70),VLOOKUP(CONCATENATE($C$3,"-",$D70),Languages!$A:$D,Summary!$C$7,TRUE),NA())</f>
        <v>Suojausmekanismeja / kontrolleja (esimerkiksi sallitut / estolistat, suojaavat asetukset) on käytössä estämään valtuuttamattoman / luvattoman koodin suorittaminen.</v>
      </c>
      <c r="F70" s="393">
        <f t="shared" si="2"/>
        <v>0</v>
      </c>
      <c r="G70" s="449" t="s">
        <v>2542</v>
      </c>
      <c r="H70" s="444"/>
      <c r="I70" s="444"/>
      <c r="J70" s="444"/>
      <c r="K70" s="453"/>
      <c r="L70" s="154"/>
      <c r="M70" s="252"/>
      <c r="N70" s="149"/>
      <c r="O70" s="897" t="str">
        <f>VLOOKUP(VLOOKUP($C$3&amp;"-"&amp;$D70,Import!$C:$D,2,FALSE),Parameters!$C$18:$F$22,Summary!$C$7,FALSE)</f>
        <v xml:space="preserve">0 - Vastaus puuttuu </v>
      </c>
      <c r="P70" s="923" t="str">
        <f>IF(VLOOKUP($C$3&amp;"-"&amp;$D70,Import!$C:$H,3,FALSE)=0,"",VLOOKUP($C$3&amp;"-"&amp;$D70,Import!$C:$H,3,FALSE))</f>
        <v/>
      </c>
      <c r="Q70" s="923" t="str">
        <f>IF(VLOOKUP($C$3&amp;"-"&amp;$D70,Import!$C:$H,4,FALSE)=0,"",VLOOKUP($C$3&amp;"-"&amp;$D70,Import!$C:$H,4,FALSE))</f>
        <v/>
      </c>
      <c r="R70" s="923" t="str">
        <f>IF(VLOOKUP($C$3&amp;"-"&amp;$D70,Import!$C:$H,5,FALSE)=0,"",VLOOKUP($C$3&amp;"-"&amp;$D70,Import!$C:$H,5,FALSE))</f>
        <v/>
      </c>
      <c r="S70" s="924" t="str">
        <f>IF(VLOOKUP($C$3&amp;"-"&amp;$D70,Import!$C:$H,6,FALSE)=0,"",VLOOKUP($C$3&amp;"-"&amp;$D70,Import!$C:$H,6,FALSE))</f>
        <v/>
      </c>
      <c r="T70" s="154"/>
      <c r="U70" s="252"/>
    </row>
    <row r="71" spans="1:21" s="177" customFormat="1" ht="30" customHeight="1" x14ac:dyDescent="0.25">
      <c r="A71" s="166"/>
      <c r="B71" s="269"/>
      <c r="C71" s="170">
        <v>4</v>
      </c>
      <c r="D71" s="170" t="str">
        <f>IF(VLOOKUP(CONCATENATE($C$3,"-",C71),Languages!$A:$D,1,TRUE)=CONCATENATE($C$3,"-",C71),VLOOKUP(CONCATENATE($C$3,"-",C71),Languages!$A:$D,Summary!$C$7,TRUE),NA())</f>
        <v>Sovellusturvallisuus osana kyberarkkitehtuuria</v>
      </c>
      <c r="E71" s="170"/>
      <c r="F71" s="292"/>
      <c r="G71" s="907"/>
      <c r="H71" s="929"/>
      <c r="I71" s="929"/>
      <c r="J71" s="929"/>
      <c r="K71" s="929"/>
      <c r="L71" s="154"/>
      <c r="M71" s="252"/>
      <c r="N71" s="149"/>
      <c r="O71" s="292"/>
      <c r="P71" s="293"/>
      <c r="Q71" s="293"/>
      <c r="R71" s="293"/>
      <c r="S71" s="293"/>
      <c r="T71" s="154"/>
      <c r="U71" s="252"/>
    </row>
    <row r="72" spans="1:21" s="285" customFormat="1" ht="19.95" customHeight="1" x14ac:dyDescent="0.2">
      <c r="A72" s="304"/>
      <c r="B72" s="279"/>
      <c r="C72" s="280" t="str">
        <f>IF(VLOOKUP("GEN-LEVEL",Languages!$A:$D,1,TRUE)="GEN-LEVEL",VLOOKUP("GEN-LEVEL",Languages!$A:$D,Summary!$C$7,TRUE),NA())</f>
        <v>Taso</v>
      </c>
      <c r="D72" s="280"/>
      <c r="E72" s="281" t="str">
        <f>IF(VLOOKUP("GEN-PRACTICE",Languages!$A:$D,1,TRUE)="GEN-PRACTICE",VLOOKUP("GEN-PRACTICE",Languages!$A:$D,Summary!$C$7,TRUE),NA())</f>
        <v>Käytäntö</v>
      </c>
      <c r="F72" s="282"/>
      <c r="G72" s="904" t="str">
        <f>IF(VLOOKUP("GEN-ANSWER",Languages!$A:$D,1,TRUE)="GEN-ANSWER",VLOOKUP("GEN-ANSWER",Languages!$A:$D,Summary!$C$7,TRUE),NA())</f>
        <v>Vastaus</v>
      </c>
      <c r="H72" s="905" t="str">
        <f>IF(VLOOKUP("KM112",Languages!$A:$D,1,TRUE)="KM112",VLOOKUP("KM112",Languages!$A:$D,Summary!$C$7,TRUE),NA())</f>
        <v>Kommentit</v>
      </c>
      <c r="I72" s="905" t="str">
        <f>IF(VLOOKUP("KM113",Languages!$A:$D,1,TRUE)="KM113",VLOOKUP("KM113",Languages!$A:$D,Summary!$C$7,TRUE),NA())</f>
        <v>Sisäinen viittaus</v>
      </c>
      <c r="J72" s="905" t="str">
        <f>IF(VLOOKUP("KM114",Languages!$A:$D,1,TRUE)="KM114",VLOOKUP("KM114",Languages!$A:$D,Summary!$C$7,TRUE),NA())</f>
        <v>Ulkoinen viittaus</v>
      </c>
      <c r="K72" s="905" t="str">
        <f>IF(VLOOKUP("KM115",Languages!$A:$D,1,TRUE)="KM115",VLOOKUP("KM115",Languages!$A:$D,Summary!$C$7,TRUE),NA())</f>
        <v>Kehityskohde</v>
      </c>
      <c r="L72" s="283"/>
      <c r="M72" s="284"/>
      <c r="N72" s="279"/>
      <c r="O72" s="463" t="str">
        <f>IF(VLOOKUP("GEN-ANSWER",Languages!$A:$D,1,TRUE)="GEN-ANSWER",VLOOKUP("GEN-ANSWER",Languages!$A:$D,Summary!$C$7,TRUE),NA())</f>
        <v>Vastaus</v>
      </c>
      <c r="P72" s="463" t="str">
        <f>IF(VLOOKUP("KM112",Languages!$A:$D,1,TRUE)="KM112",VLOOKUP("KM112",Languages!$A:$D,Summary!$C$7,TRUE),NA())</f>
        <v>Kommentit</v>
      </c>
      <c r="Q72" s="463" t="str">
        <f>IF(VLOOKUP("KM113",Languages!$A:$D,1,TRUE)="KM113",VLOOKUP("KM113",Languages!$A:$D,Summary!$C$7,TRUE),NA())</f>
        <v>Sisäinen viittaus</v>
      </c>
      <c r="R72" s="463" t="str">
        <f>IF(VLOOKUP("KM114",Languages!$A:$D,1,TRUE)="KM114",VLOOKUP("KM114",Languages!$A:$D,Summary!$C$7,TRUE),NA())</f>
        <v>Ulkoinen viittaus</v>
      </c>
      <c r="S72" s="463" t="str">
        <f>IF(VLOOKUP("KM115",Languages!$A:$D,1,TRUE)="KM115",VLOOKUP("KM115",Languages!$A:$D,Summary!$C$7,TRUE),NA())</f>
        <v>Kehityskohde</v>
      </c>
      <c r="T72" s="283"/>
      <c r="U72" s="284"/>
    </row>
    <row r="73" spans="1:21" s="296" customFormat="1" ht="45" customHeight="1" x14ac:dyDescent="0.2">
      <c r="A73" s="305"/>
      <c r="B73" s="297"/>
      <c r="C73" s="457">
        <v>1</v>
      </c>
      <c r="D73" s="399"/>
      <c r="E73" s="466"/>
      <c r="F73" s="391"/>
      <c r="G73" s="930"/>
      <c r="H73" s="502"/>
      <c r="I73" s="502"/>
      <c r="J73" s="502"/>
      <c r="K73" s="400"/>
      <c r="L73" s="154"/>
      <c r="M73" s="252"/>
      <c r="N73" s="149"/>
      <c r="O73" s="391"/>
      <c r="P73" s="927"/>
      <c r="Q73" s="927"/>
      <c r="R73" s="927"/>
      <c r="S73" s="928"/>
      <c r="T73" s="154"/>
      <c r="U73" s="252"/>
    </row>
    <row r="74" spans="1:21" s="296" customFormat="1" ht="54" customHeight="1" x14ac:dyDescent="0.2">
      <c r="A74" s="305"/>
      <c r="B74" s="297"/>
      <c r="C74" s="1207">
        <v>2</v>
      </c>
      <c r="D74" s="395" t="s">
        <v>117</v>
      </c>
      <c r="E74" s="467" t="str">
        <f>IF(VLOOKUP(CONCATENATE($C$3,"-",$D74),Languages!$A:$D,1,TRUE)=CONCATENATE($C$3,"-",$D74),VLOOKUP(CONCATENATE($C$3,"-",$D74),Languages!$A:$D,Summary!$C$7,TRUE),NA())</f>
        <v>Sisäisesti kehitettävät ohjelmistot ja sovellukset, jotka on tarkoitettu otettavaksi käyttöön korkean prioriteetin laitteissa tai ohjelmistoissa [kts. ASSET-1c], kehitetään noudattaen turvallisen sovelluskehityksen periaatteita.</v>
      </c>
      <c r="F74" s="386">
        <f t="shared" ref="F74:F81" si="3">IFERROR(INT(LEFT($G74,1)),0)</f>
        <v>0</v>
      </c>
      <c r="G74" s="445" t="s">
        <v>2542</v>
      </c>
      <c r="H74" s="442"/>
      <c r="I74" s="442"/>
      <c r="J74" s="442"/>
      <c r="K74" s="451"/>
      <c r="L74" s="154"/>
      <c r="M74" s="252"/>
      <c r="N74" s="149"/>
      <c r="O74" s="889" t="str">
        <f>VLOOKUP(VLOOKUP($C$3&amp;"-"&amp;$D74,Import!$C:$D,2,FALSE),Parameters!$C$18:$F$22,Summary!$C$7,FALSE)</f>
        <v xml:space="preserve">0 - Vastaus puuttuu </v>
      </c>
      <c r="P74" s="921" t="str">
        <f>IF(VLOOKUP($C$3&amp;"-"&amp;$D74,Import!$C:$H,3,FALSE)=0,"",VLOOKUP($C$3&amp;"-"&amp;$D74,Import!$C:$H,3,FALSE))</f>
        <v/>
      </c>
      <c r="Q74" s="921" t="str">
        <f>IF(VLOOKUP($C$3&amp;"-"&amp;$D74,Import!$C:$H,4,FALSE)=0,"",VLOOKUP($C$3&amp;"-"&amp;$D74,Import!$C:$H,4,FALSE))</f>
        <v/>
      </c>
      <c r="R74" s="921" t="str">
        <f>IF(VLOOKUP($C$3&amp;"-"&amp;$D74,Import!$C:$H,5,FALSE)=0,"",VLOOKUP($C$3&amp;"-"&amp;$D74,Import!$C:$H,5,FALSE))</f>
        <v/>
      </c>
      <c r="S74" s="922" t="str">
        <f>IF(VLOOKUP($C$3&amp;"-"&amp;$D74,Import!$C:$H,6,FALSE)=0,"",VLOOKUP($C$3&amp;"-"&amp;$D74,Import!$C:$H,6,FALSE))</f>
        <v/>
      </c>
      <c r="T74" s="154"/>
      <c r="U74" s="252"/>
    </row>
    <row r="75" spans="1:21" s="296" customFormat="1" ht="45" customHeight="1" x14ac:dyDescent="0.2">
      <c r="A75" s="305"/>
      <c r="B75" s="297"/>
      <c r="C75" s="1212"/>
      <c r="D75" s="294" t="s">
        <v>120</v>
      </c>
      <c r="E75" s="468" t="str">
        <f>IF(VLOOKUP(CONCATENATE($C$3,"-",$D75),Languages!$A:$D,1,TRUE)=CONCATENATE($C$3,"-",$D75),VLOOKUP(CONCATENATE($C$3,"-",$D75),Languages!$A:$D,Summary!$C$7,TRUE),NA())</f>
        <v>Korkean prioriteetin laitteisiin tai ohjelmistoihin [kts. ASSET-1c] tehtävien ohjelmisto- ja sovellushankintojen valinnassa huomioidaan, miten toimittaja noudattaa turvallisen sovelluskehityksen periaatteita.</v>
      </c>
      <c r="F75" s="287">
        <f t="shared" si="3"/>
        <v>0</v>
      </c>
      <c r="G75" s="307" t="s">
        <v>2542</v>
      </c>
      <c r="H75" s="443"/>
      <c r="I75" s="443"/>
      <c r="J75" s="443"/>
      <c r="K75" s="452"/>
      <c r="L75" s="154"/>
      <c r="M75" s="252"/>
      <c r="N75" s="149"/>
      <c r="O75" s="892" t="str">
        <f>VLOOKUP(VLOOKUP($C$3&amp;"-"&amp;$D75,Import!$C:$D,2,FALSE),Parameters!$C$18:$F$22,Summary!$C$7,FALSE)</f>
        <v xml:space="preserve">0 - Vastaus puuttuu </v>
      </c>
      <c r="P75" s="916" t="str">
        <f>IF(VLOOKUP($C$3&amp;"-"&amp;$D75,Import!$C:$H,3,FALSE)=0,"",VLOOKUP($C$3&amp;"-"&amp;$D75,Import!$C:$H,3,FALSE))</f>
        <v/>
      </c>
      <c r="Q75" s="916" t="str">
        <f>IF(VLOOKUP($C$3&amp;"-"&amp;$D75,Import!$C:$H,4,FALSE)=0,"",VLOOKUP($C$3&amp;"-"&amp;$D75,Import!$C:$H,4,FALSE))</f>
        <v/>
      </c>
      <c r="R75" s="916" t="str">
        <f>IF(VLOOKUP($C$3&amp;"-"&amp;$D75,Import!$C:$H,5,FALSE)=0,"",VLOOKUP($C$3&amp;"-"&amp;$D75,Import!$C:$H,5,FALSE))</f>
        <v/>
      </c>
      <c r="S75" s="917" t="str">
        <f>IF(VLOOKUP($C$3&amp;"-"&amp;$D75,Import!$C:$H,6,FALSE)=0,"",VLOOKUP($C$3&amp;"-"&amp;$D75,Import!$C:$H,6,FALSE))</f>
        <v/>
      </c>
      <c r="T75" s="154"/>
      <c r="U75" s="252"/>
    </row>
    <row r="76" spans="1:21" s="296" customFormat="1" ht="34.950000000000003" customHeight="1" x14ac:dyDescent="0.2">
      <c r="A76" s="305"/>
      <c r="B76" s="297"/>
      <c r="C76" s="1208"/>
      <c r="D76" s="396" t="s">
        <v>123</v>
      </c>
      <c r="E76" s="474" t="str">
        <f>IF(VLOOKUP(CONCATENATE($C$3,"-",$D76),Languages!$A:$D,1,TRUE)=CONCATENATE($C$3,"-",$D76),VLOOKUP(CONCATENATE($C$3,"-",$D76),Languages!$A:$D,Summary!$C$7,TRUE),NA())</f>
        <v>Ohjelmistojen ja sovellusten käyttöönottoprosessissa edellytetään turvallisia ohjelmistokonfiguraatioita (sekä sisäisesti kehitettyjen että hankittujen ohjelmistojen osalta)</v>
      </c>
      <c r="F76" s="393">
        <f t="shared" si="3"/>
        <v>0</v>
      </c>
      <c r="G76" s="449" t="s">
        <v>2542</v>
      </c>
      <c r="H76" s="444"/>
      <c r="I76" s="444"/>
      <c r="J76" s="444"/>
      <c r="K76" s="453"/>
      <c r="L76" s="154"/>
      <c r="M76" s="252"/>
      <c r="N76" s="149"/>
      <c r="O76" s="897" t="str">
        <f>VLOOKUP(VLOOKUP($C$3&amp;"-"&amp;$D76,Import!$C:$D,2,FALSE),Parameters!$C$18:$F$22,Summary!$C$7,FALSE)</f>
        <v xml:space="preserve">0 - Vastaus puuttuu </v>
      </c>
      <c r="P76" s="923" t="str">
        <f>IF(VLOOKUP($C$3&amp;"-"&amp;$D76,Import!$C:$H,3,FALSE)=0,"",VLOOKUP($C$3&amp;"-"&amp;$D76,Import!$C:$H,3,FALSE))</f>
        <v/>
      </c>
      <c r="Q76" s="923" t="str">
        <f>IF(VLOOKUP($C$3&amp;"-"&amp;$D76,Import!$C:$H,4,FALSE)=0,"",VLOOKUP($C$3&amp;"-"&amp;$D76,Import!$C:$H,4,FALSE))</f>
        <v/>
      </c>
      <c r="R76" s="923" t="str">
        <f>IF(VLOOKUP($C$3&amp;"-"&amp;$D76,Import!$C:$H,5,FALSE)=0,"",VLOOKUP($C$3&amp;"-"&amp;$D76,Import!$C:$H,5,FALSE))</f>
        <v/>
      </c>
      <c r="S76" s="924" t="str">
        <f>IF(VLOOKUP($C$3&amp;"-"&amp;$D76,Import!$C:$H,6,FALSE)=0,"",VLOOKUP($C$3&amp;"-"&amp;$D76,Import!$C:$H,6,FALSE))</f>
        <v/>
      </c>
      <c r="T76" s="154"/>
      <c r="U76" s="252"/>
    </row>
    <row r="77" spans="1:21" s="296" customFormat="1" ht="34.950000000000003" customHeight="1" x14ac:dyDescent="0.2">
      <c r="A77" s="305"/>
      <c r="B77" s="297"/>
      <c r="C77" s="1209">
        <v>3</v>
      </c>
      <c r="D77" s="395" t="s">
        <v>126</v>
      </c>
      <c r="E77" s="467" t="str">
        <f>IF(VLOOKUP(CONCATENATE($C$3,"-",$D77),Languages!$A:$D,1,TRUE)=CONCATENATE($C$3,"-",$D77),VLOOKUP(CONCATENATE($C$3,"-",$D77),Languages!$A:$D,Summary!$C$7,TRUE),NA())</f>
        <v>Kaikki sisäisesti kehitettävät ohjelmistot ja sovellukset kehitetään käyttäen turvallisen sovelluskehityksen periaatteita.</v>
      </c>
      <c r="F77" s="386">
        <f t="shared" si="3"/>
        <v>0</v>
      </c>
      <c r="G77" s="445" t="s">
        <v>2542</v>
      </c>
      <c r="H77" s="442"/>
      <c r="I77" s="442"/>
      <c r="J77" s="442"/>
      <c r="K77" s="451"/>
      <c r="L77" s="154"/>
      <c r="M77" s="252"/>
      <c r="N77" s="149"/>
      <c r="O77" s="889" t="str">
        <f>VLOOKUP(VLOOKUP($C$3&amp;"-"&amp;$D77,Import!$C:$D,2,FALSE),Parameters!$C$18:$F$22,Summary!$C$7,FALSE)</f>
        <v xml:space="preserve">0 - Vastaus puuttuu </v>
      </c>
      <c r="P77" s="921" t="str">
        <f>IF(VLOOKUP($C$3&amp;"-"&amp;$D77,Import!$C:$H,3,FALSE)=0,"",VLOOKUP($C$3&amp;"-"&amp;$D77,Import!$C:$H,3,FALSE))</f>
        <v/>
      </c>
      <c r="Q77" s="921" t="str">
        <f>IF(VLOOKUP($C$3&amp;"-"&amp;$D77,Import!$C:$H,4,FALSE)=0,"",VLOOKUP($C$3&amp;"-"&amp;$D77,Import!$C:$H,4,FALSE))</f>
        <v/>
      </c>
      <c r="R77" s="921" t="str">
        <f>IF(VLOOKUP($C$3&amp;"-"&amp;$D77,Import!$C:$H,5,FALSE)=0,"",VLOOKUP($C$3&amp;"-"&amp;$D77,Import!$C:$H,5,FALSE))</f>
        <v/>
      </c>
      <c r="S77" s="922" t="str">
        <f>IF(VLOOKUP($C$3&amp;"-"&amp;$D77,Import!$C:$H,6,FALSE)=0,"",VLOOKUP($C$3&amp;"-"&amp;$D77,Import!$C:$H,6,FALSE))</f>
        <v/>
      </c>
      <c r="T77" s="154"/>
      <c r="U77" s="252"/>
    </row>
    <row r="78" spans="1:21" s="296" customFormat="1" ht="34.950000000000003" customHeight="1" x14ac:dyDescent="0.2">
      <c r="A78" s="305"/>
      <c r="B78" s="297"/>
      <c r="C78" s="1210"/>
      <c r="D78" s="294" t="s">
        <v>129</v>
      </c>
      <c r="E78" s="468" t="str">
        <f>IF(VLOOKUP(CONCATENATE($C$3,"-",$D78),Languages!$A:$D,1,TRUE)=CONCATENATE($C$3,"-",$D78),VLOOKUP(CONCATENATE($C$3,"-",$D78),Languages!$A:$D,Summary!$C$7,TRUE),NA())</f>
        <v>Kaikkien ohjelmisto- ja sovellushankintojen valinnassa huomioidaan noudattaako toimittaja turvallisen sovelluskehityksen periaatteita.</v>
      </c>
      <c r="F78" s="287">
        <f t="shared" si="3"/>
        <v>0</v>
      </c>
      <c r="G78" s="307" t="s">
        <v>2542</v>
      </c>
      <c r="H78" s="443"/>
      <c r="I78" s="443"/>
      <c r="J78" s="443"/>
      <c r="K78" s="452"/>
      <c r="L78" s="154"/>
      <c r="M78" s="252"/>
      <c r="N78" s="149"/>
      <c r="O78" s="892" t="str">
        <f>VLOOKUP(VLOOKUP($C$3&amp;"-"&amp;$D78,Import!$C:$D,2,FALSE),Parameters!$C$18:$F$22,Summary!$C$7,FALSE)</f>
        <v xml:space="preserve">0 - Vastaus puuttuu </v>
      </c>
      <c r="P78" s="916" t="str">
        <f>IF(VLOOKUP($C$3&amp;"-"&amp;$D78,Import!$C:$H,3,FALSE)=0,"",VLOOKUP($C$3&amp;"-"&amp;$D78,Import!$C:$H,3,FALSE))</f>
        <v/>
      </c>
      <c r="Q78" s="916" t="str">
        <f>IF(VLOOKUP($C$3&amp;"-"&amp;$D78,Import!$C:$H,4,FALSE)=0,"",VLOOKUP($C$3&amp;"-"&amp;$D78,Import!$C:$H,4,FALSE))</f>
        <v/>
      </c>
      <c r="R78" s="916" t="str">
        <f>IF(VLOOKUP($C$3&amp;"-"&amp;$D78,Import!$C:$H,5,FALSE)=0,"",VLOOKUP($C$3&amp;"-"&amp;$D78,Import!$C:$H,5,FALSE))</f>
        <v/>
      </c>
      <c r="S78" s="917" t="str">
        <f>IF(VLOOKUP($C$3&amp;"-"&amp;$D78,Import!$C:$H,6,FALSE)=0,"",VLOOKUP($C$3&amp;"-"&amp;$D78,Import!$C:$H,6,FALSE))</f>
        <v/>
      </c>
      <c r="T78" s="154"/>
      <c r="U78" s="252"/>
    </row>
    <row r="79" spans="1:21" s="296" customFormat="1" ht="42.6" customHeight="1" x14ac:dyDescent="0.2">
      <c r="A79" s="305"/>
      <c r="B79" s="297"/>
      <c r="C79" s="1210"/>
      <c r="D79" s="294" t="s">
        <v>131</v>
      </c>
      <c r="E79" s="468" t="str">
        <f>IF(VLOOKUP(CONCATENATE($C$3,"-",$D79),Languages!$A:$D,1,TRUE)=CONCATENATE($C$3,"-",$D79),VLOOKUP(CONCATENATE($C$3,"-",$D79),Languages!$A:$D,Summary!$C$7,TRUE),NA())</f>
        <v>Arkkitehtuurikatselmointiprosessissa arvioidaan uusien ja päivitettyjen ohjelmistojen ja sovellusten turvallisuutta ennen niiden vientiä tuotantoon.</v>
      </c>
      <c r="F79" s="287">
        <f t="shared" si="3"/>
        <v>0</v>
      </c>
      <c r="G79" s="307" t="s">
        <v>2542</v>
      </c>
      <c r="H79" s="443"/>
      <c r="I79" s="443"/>
      <c r="J79" s="443"/>
      <c r="K79" s="452"/>
      <c r="L79" s="154"/>
      <c r="M79" s="252"/>
      <c r="N79" s="149"/>
      <c r="O79" s="892" t="str">
        <f>VLOOKUP(VLOOKUP($C$3&amp;"-"&amp;$D79,Import!$C:$D,2,FALSE),Parameters!$C$18:$F$22,Summary!$C$7,FALSE)</f>
        <v xml:space="preserve">0 - Vastaus puuttuu </v>
      </c>
      <c r="P79" s="916" t="str">
        <f>IF(VLOOKUP($C$3&amp;"-"&amp;$D79,Import!$C:$H,3,FALSE)=0,"",VLOOKUP($C$3&amp;"-"&amp;$D79,Import!$C:$H,3,FALSE))</f>
        <v/>
      </c>
      <c r="Q79" s="916" t="str">
        <f>IF(VLOOKUP($C$3&amp;"-"&amp;$D79,Import!$C:$H,4,FALSE)=0,"",VLOOKUP($C$3&amp;"-"&amp;$D79,Import!$C:$H,4,FALSE))</f>
        <v/>
      </c>
      <c r="R79" s="916" t="str">
        <f>IF(VLOOKUP($C$3&amp;"-"&amp;$D79,Import!$C:$H,5,FALSE)=0,"",VLOOKUP($C$3&amp;"-"&amp;$D79,Import!$C:$H,5,FALSE))</f>
        <v/>
      </c>
      <c r="S79" s="917" t="str">
        <f>IF(VLOOKUP($C$3&amp;"-"&amp;$D79,Import!$C:$H,6,FALSE)=0,"",VLOOKUP($C$3&amp;"-"&amp;$D79,Import!$C:$H,6,FALSE))</f>
        <v/>
      </c>
      <c r="T79" s="154"/>
      <c r="U79" s="252"/>
    </row>
    <row r="80" spans="1:21" s="296" customFormat="1" ht="34.950000000000003" customHeight="1" x14ac:dyDescent="0.2">
      <c r="A80" s="305"/>
      <c r="B80" s="297"/>
      <c r="C80" s="1210"/>
      <c r="D80" s="294" t="s">
        <v>239</v>
      </c>
      <c r="E80" s="468" t="str">
        <f>IF(VLOOKUP(CONCATENATE($C$3,"-",$D80),Languages!$A:$D,1,TRUE)=CONCATENATE($C$3,"-",$D80),VLOOKUP(CONCATENATE($C$3,"-",$D80),Languages!$A:$D,Summary!$C$7,TRUE),NA())</f>
        <v>Ohjelmistojen ja laiteohjelmistojen (firmware) aitous varmistetaan ennen käyttöönottoa.</v>
      </c>
      <c r="F80" s="287">
        <f t="shared" si="3"/>
        <v>0</v>
      </c>
      <c r="G80" s="307" t="s">
        <v>2542</v>
      </c>
      <c r="H80" s="443"/>
      <c r="I80" s="443"/>
      <c r="J80" s="443"/>
      <c r="K80" s="452"/>
      <c r="L80" s="154"/>
      <c r="M80" s="252"/>
      <c r="N80" s="149"/>
      <c r="O80" s="892" t="str">
        <f>VLOOKUP(VLOOKUP($C$3&amp;"-"&amp;$D80,Import!$C:$D,2,FALSE),Parameters!$C$18:$F$22,Summary!$C$7,FALSE)</f>
        <v xml:space="preserve">0 - Vastaus puuttuu </v>
      </c>
      <c r="P80" s="916" t="str">
        <f>IF(VLOOKUP($C$3&amp;"-"&amp;$D80,Import!$C:$H,3,FALSE)=0,"",VLOOKUP($C$3&amp;"-"&amp;$D80,Import!$C:$H,3,FALSE))</f>
        <v/>
      </c>
      <c r="Q80" s="916" t="str">
        <f>IF(VLOOKUP($C$3&amp;"-"&amp;$D80,Import!$C:$H,4,FALSE)=0,"",VLOOKUP($C$3&amp;"-"&amp;$D80,Import!$C:$H,4,FALSE))</f>
        <v/>
      </c>
      <c r="R80" s="916" t="str">
        <f>IF(VLOOKUP($C$3&amp;"-"&amp;$D80,Import!$C:$H,5,FALSE)=0,"",VLOOKUP($C$3&amp;"-"&amp;$D80,Import!$C:$H,5,FALSE))</f>
        <v/>
      </c>
      <c r="S80" s="917" t="str">
        <f>IF(VLOOKUP($C$3&amp;"-"&amp;$D80,Import!$C:$H,6,FALSE)=0,"",VLOOKUP($C$3&amp;"-"&amp;$D80,Import!$C:$H,6,FALSE))</f>
        <v/>
      </c>
      <c r="T80" s="154"/>
      <c r="U80" s="252"/>
    </row>
    <row r="81" spans="1:21" s="296" customFormat="1" ht="67.8" customHeight="1" x14ac:dyDescent="0.2">
      <c r="A81" s="305"/>
      <c r="B81" s="380"/>
      <c r="C81" s="1211"/>
      <c r="D81" s="396" t="s">
        <v>327</v>
      </c>
      <c r="E81" s="474" t="str">
        <f>IF(VLOOKUP(CONCATENATE($C$3,"-",$D81),Languages!$A:$D,1,TRUE)=CONCATENATE($C$3,"-",$D81),VLOOKUP(CONCATENATE($C$3,"-",$D81),Languages!$A:$D,Summary!$C$7,TRUE),NA())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81" s="393">
        <f t="shared" si="3"/>
        <v>0</v>
      </c>
      <c r="G81" s="449" t="s">
        <v>2542</v>
      </c>
      <c r="H81" s="444"/>
      <c r="I81" s="444"/>
      <c r="J81" s="444"/>
      <c r="K81" s="453"/>
      <c r="L81" s="154"/>
      <c r="M81" s="252"/>
      <c r="N81" s="149"/>
      <c r="O81" s="897" t="str">
        <f>VLOOKUP(VLOOKUP($C$3&amp;"-"&amp;$D81,Import!$C:$D,2,FALSE),Parameters!$C$18:$F$22,Summary!$C$7,FALSE)</f>
        <v xml:space="preserve">0 - Vastaus puuttuu </v>
      </c>
      <c r="P81" s="923" t="str">
        <f>IF(VLOOKUP($C$3&amp;"-"&amp;$D81,Import!$C:$H,3,FALSE)=0,"",VLOOKUP($C$3&amp;"-"&amp;$D81,Import!$C:$H,3,FALSE))</f>
        <v/>
      </c>
      <c r="Q81" s="923" t="str">
        <f>IF(VLOOKUP($C$3&amp;"-"&amp;$D81,Import!$C:$H,4,FALSE)=0,"",VLOOKUP($C$3&amp;"-"&amp;$D81,Import!$C:$H,4,FALSE))</f>
        <v/>
      </c>
      <c r="R81" s="923" t="str">
        <f>IF(VLOOKUP($C$3&amp;"-"&amp;$D81,Import!$C:$H,5,FALSE)=0,"",VLOOKUP($C$3&amp;"-"&amp;$D81,Import!$C:$H,5,FALSE))</f>
        <v/>
      </c>
      <c r="S81" s="924" t="str">
        <f>IF(VLOOKUP($C$3&amp;"-"&amp;$D81,Import!$C:$H,6,FALSE)=0,"",VLOOKUP($C$3&amp;"-"&amp;$D81,Import!$C:$H,6,FALSE))</f>
        <v/>
      </c>
      <c r="T81" s="154"/>
      <c r="U81" s="252"/>
    </row>
    <row r="82" spans="1:21" s="177" customFormat="1" ht="30" customHeight="1" x14ac:dyDescent="0.25">
      <c r="A82" s="166"/>
      <c r="B82" s="269"/>
      <c r="C82" s="170">
        <v>5</v>
      </c>
      <c r="D82" s="170" t="str">
        <f>IF(VLOOKUP(CONCATENATE($C$3,"-",C82),Languages!$A:$D,1,TRUE)=CONCATENATE($C$3,"-",C82),VLOOKUP(CONCATENATE($C$3,"-",C82),Languages!$A:$D,Summary!$C$7,TRUE),NA())</f>
        <v>Tietojen suojaus osana kyberarkkitehtuuria</v>
      </c>
      <c r="E82" s="170"/>
      <c r="F82" s="292"/>
      <c r="G82" s="907"/>
      <c r="H82" s="929"/>
      <c r="I82" s="929"/>
      <c r="J82" s="929"/>
      <c r="K82" s="929"/>
      <c r="L82" s="154"/>
      <c r="M82" s="252"/>
      <c r="N82" s="149"/>
      <c r="O82" s="292"/>
      <c r="P82" s="293"/>
      <c r="Q82" s="293"/>
      <c r="R82" s="293"/>
      <c r="S82" s="293"/>
      <c r="T82" s="154"/>
      <c r="U82" s="252"/>
    </row>
    <row r="83" spans="1:21" s="285" customFormat="1" ht="19.95" customHeight="1" x14ac:dyDescent="0.2">
      <c r="A83" s="304"/>
      <c r="B83" s="279"/>
      <c r="C83" s="280" t="str">
        <f>IF(VLOOKUP("GEN-LEVEL",Languages!$A:$D,1,TRUE)="GEN-LEVEL",VLOOKUP("GEN-LEVEL",Languages!$A:$D,Summary!$C$7,TRUE),NA())</f>
        <v>Taso</v>
      </c>
      <c r="D83" s="280"/>
      <c r="E83" s="281" t="str">
        <f>IF(VLOOKUP("GEN-PRACTICE",Languages!$A:$D,1,TRUE)="GEN-PRACTICE",VLOOKUP("GEN-PRACTICE",Languages!$A:$D,Summary!$C$7,TRUE),NA())</f>
        <v>Käytäntö</v>
      </c>
      <c r="F83" s="282"/>
      <c r="G83" s="904" t="str">
        <f>IF(VLOOKUP("GEN-ANSWER",Languages!$A:$D,1,TRUE)="GEN-ANSWER",VLOOKUP("GEN-ANSWER",Languages!$A:$D,Summary!$C$7,TRUE),NA())</f>
        <v>Vastaus</v>
      </c>
      <c r="H83" s="905" t="str">
        <f>IF(VLOOKUP("KM112",Languages!$A:$D,1,TRUE)="KM112",VLOOKUP("KM112",Languages!$A:$D,Summary!$C$7,TRUE),NA())</f>
        <v>Kommentit</v>
      </c>
      <c r="I83" s="905" t="str">
        <f>IF(VLOOKUP("KM113",Languages!$A:$D,1,TRUE)="KM113",VLOOKUP("KM113",Languages!$A:$D,Summary!$C$7,TRUE),NA())</f>
        <v>Sisäinen viittaus</v>
      </c>
      <c r="J83" s="905" t="str">
        <f>IF(VLOOKUP("KM114",Languages!$A:$D,1,TRUE)="KM114",VLOOKUP("KM114",Languages!$A:$D,Summary!$C$7,TRUE),NA())</f>
        <v>Ulkoinen viittaus</v>
      </c>
      <c r="K83" s="905" t="str">
        <f>IF(VLOOKUP("KM115",Languages!$A:$D,1,TRUE)="KM115",VLOOKUP("KM115",Languages!$A:$D,Summary!$C$7,TRUE),NA())</f>
        <v>Kehityskohde</v>
      </c>
      <c r="L83" s="283"/>
      <c r="M83" s="284"/>
      <c r="N83" s="279"/>
      <c r="O83" s="463" t="str">
        <f>IF(VLOOKUP("GEN-ANSWER",Languages!$A:$D,1,TRUE)="GEN-ANSWER",VLOOKUP("GEN-ANSWER",Languages!$A:$D,Summary!$C$7,TRUE),NA())</f>
        <v>Vastaus</v>
      </c>
      <c r="P83" s="463" t="str">
        <f>IF(VLOOKUP("KM112",Languages!$A:$D,1,TRUE)="KM112",VLOOKUP("KM112",Languages!$A:$D,Summary!$C$7,TRUE),NA())</f>
        <v>Kommentit</v>
      </c>
      <c r="Q83" s="463" t="str">
        <f>IF(VLOOKUP("KM113",Languages!$A:$D,1,TRUE)="KM113",VLOOKUP("KM113",Languages!$A:$D,Summary!$C$7,TRUE),NA())</f>
        <v>Sisäinen viittaus</v>
      </c>
      <c r="R83" s="463" t="str">
        <f>IF(VLOOKUP("KM114",Languages!$A:$D,1,TRUE)="KM114",VLOOKUP("KM114",Languages!$A:$D,Summary!$C$7,TRUE),NA())</f>
        <v>Ulkoinen viittaus</v>
      </c>
      <c r="S83" s="463" t="str">
        <f>IF(VLOOKUP("KM115",Languages!$A:$D,1,TRUE)="KM115",VLOOKUP("KM115",Languages!$A:$D,Summary!$C$7,TRUE),NA())</f>
        <v>Kehityskohde</v>
      </c>
      <c r="T83" s="283"/>
      <c r="U83" s="284"/>
    </row>
    <row r="84" spans="1:21" s="296" customFormat="1" ht="34.950000000000003" customHeight="1" x14ac:dyDescent="0.2">
      <c r="A84" s="305"/>
      <c r="B84" s="380"/>
      <c r="C84" s="523">
        <v>1</v>
      </c>
      <c r="D84" s="399" t="s">
        <v>134</v>
      </c>
      <c r="E84" s="466" t="str">
        <f>IF(VLOOKUP(CONCATENATE($C$3,"-",$D84),Languages!$A:$D,1,TRUE)=CONCATENATE($C$3,"-",$D84),VLOOKUP(CONCATENATE($C$3,"-",$D84),Languages!$A:$D,Summary!$C$7,TRUE),NA())</f>
        <v>Tallennettua arkaluontoista tietoa ("data at rest") suojataan. Tasolla 1 tämän ei tarvitse olla systemaattista ja säännöllistä.</v>
      </c>
      <c r="F84" s="391">
        <f t="shared" ref="F84:F91" si="4">IFERROR(INT(LEFT($G84,1)),0)</f>
        <v>0</v>
      </c>
      <c r="G84" s="456" t="s">
        <v>2542</v>
      </c>
      <c r="H84" s="454"/>
      <c r="I84" s="454"/>
      <c r="J84" s="454"/>
      <c r="K84" s="455"/>
      <c r="L84" s="154"/>
      <c r="M84" s="252"/>
      <c r="N84" s="149"/>
      <c r="O84" s="886" t="str">
        <f>VLOOKUP(VLOOKUP($C$3&amp;"-"&amp;$D84,Import!$C:$D,2,FALSE),Parameters!$C$18:$F$22,Summary!$C$7,FALSE)</f>
        <v xml:space="preserve">0 - Vastaus puuttuu </v>
      </c>
      <c r="P84" s="925" t="str">
        <f>IF(VLOOKUP($C$3&amp;"-"&amp;$D84,Import!$C:$H,3,FALSE)=0,"",VLOOKUP($C$3&amp;"-"&amp;$D84,Import!$C:$H,3,FALSE))</f>
        <v/>
      </c>
      <c r="Q84" s="925" t="str">
        <f>IF(VLOOKUP($C$3&amp;"-"&amp;$D84,Import!$C:$H,4,FALSE)=0,"",VLOOKUP($C$3&amp;"-"&amp;$D84,Import!$C:$H,4,FALSE))</f>
        <v/>
      </c>
      <c r="R84" s="925" t="str">
        <f>IF(VLOOKUP($C$3&amp;"-"&amp;$D84,Import!$C:$H,5,FALSE)=0,"",VLOOKUP($C$3&amp;"-"&amp;$D84,Import!$C:$H,5,FALSE))</f>
        <v/>
      </c>
      <c r="S84" s="926" t="str">
        <f>IF(VLOOKUP($C$3&amp;"-"&amp;$D84,Import!$C:$H,6,FALSE)=0,"",VLOOKUP($C$3&amp;"-"&amp;$D84,Import!$C:$H,6,FALSE))</f>
        <v/>
      </c>
      <c r="T84" s="154"/>
      <c r="U84" s="252"/>
    </row>
    <row r="85" spans="1:21" s="296" customFormat="1" ht="34.950000000000003" customHeight="1" x14ac:dyDescent="0.2">
      <c r="A85" s="305"/>
      <c r="B85" s="380"/>
      <c r="C85" s="1207">
        <v>2</v>
      </c>
      <c r="D85" s="395" t="s">
        <v>137</v>
      </c>
      <c r="E85" s="467" t="str">
        <f>IF(VLOOKUP(CONCATENATE($C$3,"-",$D85),Languages!$A:$D,1,TRUE)=CONCATENATE($C$3,"-",$D85),VLOOKUP(CONCATENATE($C$3,"-",$D85),Languages!$A:$D,Summary!$C$7,TRUE),NA())</f>
        <v>Kaikkea tallennettua tietoa ("data at rest") suojataan valittujen tietotyyppien osalta [kts. ASSET-2c].</v>
      </c>
      <c r="F85" s="386">
        <f t="shared" si="4"/>
        <v>0</v>
      </c>
      <c r="G85" s="445" t="s">
        <v>2542</v>
      </c>
      <c r="H85" s="442"/>
      <c r="I85" s="442"/>
      <c r="J85" s="442"/>
      <c r="K85" s="451"/>
      <c r="L85" s="154"/>
      <c r="M85" s="252"/>
      <c r="N85" s="149"/>
      <c r="O85" s="889" t="str">
        <f>VLOOKUP(VLOOKUP($C$3&amp;"-"&amp;$D85,Import!$C:$D,2,FALSE),Parameters!$C$18:$F$22,Summary!$C$7,FALSE)</f>
        <v xml:space="preserve">0 - Vastaus puuttuu </v>
      </c>
      <c r="P85" s="921" t="str">
        <f>IF(VLOOKUP($C$3&amp;"-"&amp;$D85,Import!$C:$H,3,FALSE)=0,"",VLOOKUP($C$3&amp;"-"&amp;$D85,Import!$C:$H,3,FALSE))</f>
        <v/>
      </c>
      <c r="Q85" s="921" t="str">
        <f>IF(VLOOKUP($C$3&amp;"-"&amp;$D85,Import!$C:$H,4,FALSE)=0,"",VLOOKUP($C$3&amp;"-"&amp;$D85,Import!$C:$H,4,FALSE))</f>
        <v/>
      </c>
      <c r="R85" s="921" t="str">
        <f>IF(VLOOKUP($C$3&amp;"-"&amp;$D85,Import!$C:$H,5,FALSE)=0,"",VLOOKUP($C$3&amp;"-"&amp;$D85,Import!$C:$H,5,FALSE))</f>
        <v/>
      </c>
      <c r="S85" s="922" t="str">
        <f>IF(VLOOKUP($C$3&amp;"-"&amp;$D85,Import!$C:$H,6,FALSE)=0,"",VLOOKUP($C$3&amp;"-"&amp;$D85,Import!$C:$H,6,FALSE))</f>
        <v/>
      </c>
      <c r="T85" s="154"/>
      <c r="U85" s="252"/>
    </row>
    <row r="86" spans="1:21" s="296" customFormat="1" ht="34.950000000000003" customHeight="1" x14ac:dyDescent="0.2">
      <c r="A86" s="305"/>
      <c r="B86" s="380"/>
      <c r="C86" s="1212"/>
      <c r="D86" s="294" t="s">
        <v>140</v>
      </c>
      <c r="E86" s="468" t="str">
        <f>IF(VLOOKUP(CONCATENATE($C$3,"-",$D86),Languages!$A:$D,1,TRUE)=CONCATENATE($C$3,"-",$D86),VLOOKUP(CONCATENATE($C$3,"-",$D86),Languages!$A:$D,Summary!$C$7,TRUE),NA())</f>
        <v>Kaikkea siirrossa olevaa tietoa ("data in transit") suojataan valittujen tietotyyppien / kategorioiden osalta [kts. ASSET-2c].</v>
      </c>
      <c r="F86" s="287">
        <f t="shared" si="4"/>
        <v>0</v>
      </c>
      <c r="G86" s="307" t="s">
        <v>2542</v>
      </c>
      <c r="H86" s="443"/>
      <c r="I86" s="443"/>
      <c r="J86" s="443"/>
      <c r="K86" s="452"/>
      <c r="L86" s="154"/>
      <c r="M86" s="252"/>
      <c r="N86" s="149"/>
      <c r="O86" s="892" t="str">
        <f>VLOOKUP(VLOOKUP($C$3&amp;"-"&amp;$D86,Import!$C:$D,2,FALSE),Parameters!$C$18:$F$22,Summary!$C$7,FALSE)</f>
        <v xml:space="preserve">0 - Vastaus puuttuu </v>
      </c>
      <c r="P86" s="916" t="str">
        <f>IF(VLOOKUP($C$3&amp;"-"&amp;$D86,Import!$C:$H,3,FALSE)=0,"",VLOOKUP($C$3&amp;"-"&amp;$D86,Import!$C:$H,3,FALSE))</f>
        <v/>
      </c>
      <c r="Q86" s="916" t="str">
        <f>IF(VLOOKUP($C$3&amp;"-"&amp;$D86,Import!$C:$H,4,FALSE)=0,"",VLOOKUP($C$3&amp;"-"&amp;$D86,Import!$C:$H,4,FALSE))</f>
        <v/>
      </c>
      <c r="R86" s="916" t="str">
        <f>IF(VLOOKUP($C$3&amp;"-"&amp;$D86,Import!$C:$H,5,FALSE)=0,"",VLOOKUP($C$3&amp;"-"&amp;$D86,Import!$C:$H,5,FALSE))</f>
        <v/>
      </c>
      <c r="S86" s="917" t="str">
        <f>IF(VLOOKUP($C$3&amp;"-"&amp;$D86,Import!$C:$H,6,FALSE)=0,"",VLOOKUP($C$3&amp;"-"&amp;$D86,Import!$C:$H,6,FALSE))</f>
        <v/>
      </c>
      <c r="T86" s="154"/>
      <c r="U86" s="252"/>
    </row>
    <row r="87" spans="1:21" s="296" customFormat="1" ht="34.950000000000003" customHeight="1" x14ac:dyDescent="0.2">
      <c r="A87" s="305"/>
      <c r="B87" s="380"/>
      <c r="C87" s="1212"/>
      <c r="D87" s="294" t="s">
        <v>142</v>
      </c>
      <c r="E87" s="468" t="str">
        <f>IF(VLOOKUP(CONCATENATE($C$3,"-",$D87),Languages!$A:$D,1,TRUE)=CONCATENATE($C$3,"-",$D87),VLOOKUP(CONCATENATE($C$3,"-",$D87),Languages!$A:$D,Summary!$C$7,TRUE),NA())</f>
        <v>Salausmenetelmät ovat käytössä tallennetulle ja siirrossa olevalle tiedolle valittujen tietotyyppien / kategorioiden osalta [kts. ASSET-2c].</v>
      </c>
      <c r="F87" s="287">
        <f t="shared" si="4"/>
        <v>0</v>
      </c>
      <c r="G87" s="307" t="s">
        <v>2542</v>
      </c>
      <c r="H87" s="443"/>
      <c r="I87" s="443"/>
      <c r="J87" s="443"/>
      <c r="K87" s="452"/>
      <c r="L87" s="154"/>
      <c r="M87" s="252"/>
      <c r="N87" s="149"/>
      <c r="O87" s="892" t="str">
        <f>VLOOKUP(VLOOKUP($C$3&amp;"-"&amp;$D87,Import!$C:$D,2,FALSE),Parameters!$C$18:$F$22,Summary!$C$7,FALSE)</f>
        <v xml:space="preserve">0 - Vastaus puuttuu </v>
      </c>
      <c r="P87" s="916" t="str">
        <f>IF(VLOOKUP($C$3&amp;"-"&amp;$D87,Import!$C:$H,3,FALSE)=0,"",VLOOKUP($C$3&amp;"-"&amp;$D87,Import!$C:$H,3,FALSE))</f>
        <v/>
      </c>
      <c r="Q87" s="916" t="str">
        <f>IF(VLOOKUP($C$3&amp;"-"&amp;$D87,Import!$C:$H,4,FALSE)=0,"",VLOOKUP($C$3&amp;"-"&amp;$D87,Import!$C:$H,4,FALSE))</f>
        <v/>
      </c>
      <c r="R87" s="916" t="str">
        <f>IF(VLOOKUP($C$3&amp;"-"&amp;$D87,Import!$C:$H,5,FALSE)=0,"",VLOOKUP($C$3&amp;"-"&amp;$D87,Import!$C:$H,5,FALSE))</f>
        <v/>
      </c>
      <c r="S87" s="917" t="str">
        <f>IF(VLOOKUP($C$3&amp;"-"&amp;$D87,Import!$C:$H,6,FALSE)=0,"",VLOOKUP($C$3&amp;"-"&amp;$D87,Import!$C:$H,6,FALSE))</f>
        <v/>
      </c>
      <c r="T87" s="154"/>
      <c r="U87" s="252"/>
    </row>
    <row r="88" spans="1:21" s="296" customFormat="1" ht="45" customHeight="1" x14ac:dyDescent="0.2">
      <c r="A88" s="305"/>
      <c r="B88" s="380"/>
      <c r="C88" s="1212"/>
      <c r="D88" s="294" t="s">
        <v>144</v>
      </c>
      <c r="E88" s="468" t="str">
        <f>IF(VLOOKUP(CONCATENATE($C$3,"-",$D88),Languages!$A:$D,1,TRUE)=CONCATENATE($C$3,"-",$D88),VLOOKUP(CONCATENATE($C$3,"-",$D88),Languages!$A:$D,Summary!$C$7,TRUE),NA())</f>
        <v>Avaintenhallintainfrastruktuuri (eli avainten luonti, säilytys, tuhoaminen, päivittäminen ja kumoaminen) on käytössä salausmenetelmien tukemiseksi.</v>
      </c>
      <c r="F88" s="287">
        <f t="shared" si="4"/>
        <v>0</v>
      </c>
      <c r="G88" s="307" t="s">
        <v>2542</v>
      </c>
      <c r="H88" s="443"/>
      <c r="I88" s="443"/>
      <c r="J88" s="443"/>
      <c r="K88" s="452"/>
      <c r="L88" s="154"/>
      <c r="M88" s="252"/>
      <c r="N88" s="149"/>
      <c r="O88" s="892" t="str">
        <f>VLOOKUP(VLOOKUP($C$3&amp;"-"&amp;$D88,Import!$C:$D,2,FALSE),Parameters!$C$18:$F$22,Summary!$C$7,FALSE)</f>
        <v xml:space="preserve">0 - Vastaus puuttuu </v>
      </c>
      <c r="P88" s="916" t="str">
        <f>IF(VLOOKUP($C$3&amp;"-"&amp;$D88,Import!$C:$H,3,FALSE)=0,"",VLOOKUP($C$3&amp;"-"&amp;$D88,Import!$C:$H,3,FALSE))</f>
        <v/>
      </c>
      <c r="Q88" s="916" t="str">
        <f>IF(VLOOKUP($C$3&amp;"-"&amp;$D88,Import!$C:$H,4,FALSE)=0,"",VLOOKUP($C$3&amp;"-"&amp;$D88,Import!$C:$H,4,FALSE))</f>
        <v/>
      </c>
      <c r="R88" s="916" t="str">
        <f>IF(VLOOKUP($C$3&amp;"-"&amp;$D88,Import!$C:$H,5,FALSE)=0,"",VLOOKUP($C$3&amp;"-"&amp;$D88,Import!$C:$H,5,FALSE))</f>
        <v/>
      </c>
      <c r="S88" s="917" t="str">
        <f>IF(VLOOKUP($C$3&amp;"-"&amp;$D88,Import!$C:$H,6,FALSE)=0,"",VLOOKUP($C$3&amp;"-"&amp;$D88,Import!$C:$H,6,FALSE))</f>
        <v/>
      </c>
      <c r="T88" s="154"/>
      <c r="U88" s="252"/>
    </row>
    <row r="89" spans="1:21" s="296" customFormat="1" ht="34.950000000000003" customHeight="1" x14ac:dyDescent="0.2">
      <c r="A89" s="305"/>
      <c r="B89" s="380"/>
      <c r="C89" s="1208"/>
      <c r="D89" s="396" t="s">
        <v>146</v>
      </c>
      <c r="E89" s="474" t="str">
        <f>IF(VLOOKUP(CONCATENATE($C$3,"-",$D89),Languages!$A:$D,1,TRUE)=CONCATENATE($C$3,"-",$D89),VLOOKUP(CONCATENATE($C$3,"-",$D89),Languages!$A:$D,Summary!$C$7,TRUE),NA())</f>
        <v>Käytössä on suojausmekanismeja rajoittamaan tiedon varastamisen mahdollisuutta (esimerkiksi tiedon hävittämistä estävät työkalut).</v>
      </c>
      <c r="F89" s="393">
        <f t="shared" si="4"/>
        <v>0</v>
      </c>
      <c r="G89" s="449" t="s">
        <v>2542</v>
      </c>
      <c r="H89" s="444"/>
      <c r="I89" s="444"/>
      <c r="J89" s="444"/>
      <c r="K89" s="453"/>
      <c r="L89" s="154"/>
      <c r="M89" s="252"/>
      <c r="N89" s="149"/>
      <c r="O89" s="897" t="str">
        <f>VLOOKUP(VLOOKUP($C$3&amp;"-"&amp;$D89,Import!$C:$D,2,FALSE),Parameters!$C$18:$F$22,Summary!$C$7,FALSE)</f>
        <v xml:space="preserve">0 - Vastaus puuttuu </v>
      </c>
      <c r="P89" s="923" t="str">
        <f>IF(VLOOKUP($C$3&amp;"-"&amp;$D89,Import!$C:$H,3,FALSE)=0,"",VLOOKUP($C$3&amp;"-"&amp;$D89,Import!$C:$H,3,FALSE))</f>
        <v/>
      </c>
      <c r="Q89" s="923" t="str">
        <f>IF(VLOOKUP($C$3&amp;"-"&amp;$D89,Import!$C:$H,4,FALSE)=0,"",VLOOKUP($C$3&amp;"-"&amp;$D89,Import!$C:$H,4,FALSE))</f>
        <v/>
      </c>
      <c r="R89" s="923" t="str">
        <f>IF(VLOOKUP($C$3&amp;"-"&amp;$D89,Import!$C:$H,5,FALSE)=0,"",VLOOKUP($C$3&amp;"-"&amp;$D89,Import!$C:$H,5,FALSE))</f>
        <v/>
      </c>
      <c r="S89" s="924" t="str">
        <f>IF(VLOOKUP($C$3&amp;"-"&amp;$D89,Import!$C:$H,6,FALSE)=0,"",VLOOKUP($C$3&amp;"-"&amp;$D89,Import!$C:$H,6,FALSE))</f>
        <v/>
      </c>
      <c r="T89" s="154"/>
      <c r="U89" s="252"/>
    </row>
    <row r="90" spans="1:21" s="296" customFormat="1" ht="45" customHeight="1" x14ac:dyDescent="0.2">
      <c r="A90" s="305"/>
      <c r="B90" s="380"/>
      <c r="C90" s="1209">
        <v>3</v>
      </c>
      <c r="D90" s="395" t="s">
        <v>148</v>
      </c>
      <c r="E90" s="467" t="str">
        <f>IF(VLOOKUP(CONCATENATE($C$3,"-",$D90),Languages!$A:$D,1,TRUE)=CONCATENATE($C$3,"-",$D90),VLOOKUP(CONCATENATE($C$3,"-",$D90),Languages!$A:$D,Summary!$C$7,TRUE),NA())</f>
        <v>Kyberarkkitehtuuriin kuuluu suojausmekanismeja (esimerkiksi laitteiden kovalevyjen salaus) tiedolle, joka on tallennettu laitteille, jotka saatetaan hukata tai varastaa.</v>
      </c>
      <c r="F90" s="386">
        <f t="shared" si="4"/>
        <v>0</v>
      </c>
      <c r="G90" s="445" t="s">
        <v>2542</v>
      </c>
      <c r="H90" s="442"/>
      <c r="I90" s="442"/>
      <c r="J90" s="442"/>
      <c r="K90" s="451"/>
      <c r="L90" s="154"/>
      <c r="M90" s="252"/>
      <c r="N90" s="149"/>
      <c r="O90" s="889" t="str">
        <f>VLOOKUP(VLOOKUP($C$3&amp;"-"&amp;$D90,Import!$C:$D,2,FALSE),Parameters!$C$18:$F$22,Summary!$C$7,FALSE)</f>
        <v xml:space="preserve">0 - Vastaus puuttuu </v>
      </c>
      <c r="P90" s="921" t="str">
        <f>IF(VLOOKUP($C$3&amp;"-"&amp;$D90,Import!$C:$H,3,FALSE)=0,"",VLOOKUP($C$3&amp;"-"&amp;$D90,Import!$C:$H,3,FALSE))</f>
        <v/>
      </c>
      <c r="Q90" s="921" t="str">
        <f>IF(VLOOKUP($C$3&amp;"-"&amp;$D90,Import!$C:$H,4,FALSE)=0,"",VLOOKUP($C$3&amp;"-"&amp;$D90,Import!$C:$H,4,FALSE))</f>
        <v/>
      </c>
      <c r="R90" s="921" t="str">
        <f>IF(VLOOKUP($C$3&amp;"-"&amp;$D90,Import!$C:$H,5,FALSE)=0,"",VLOOKUP($C$3&amp;"-"&amp;$D90,Import!$C:$H,5,FALSE))</f>
        <v/>
      </c>
      <c r="S90" s="922" t="str">
        <f>IF(VLOOKUP($C$3&amp;"-"&amp;$D90,Import!$C:$H,6,FALSE)=0,"",VLOOKUP($C$3&amp;"-"&amp;$D90,Import!$C:$H,6,FALSE))</f>
        <v/>
      </c>
      <c r="T90" s="154"/>
      <c r="U90" s="252"/>
    </row>
    <row r="91" spans="1:21" s="296" customFormat="1" ht="43.2" customHeight="1" x14ac:dyDescent="0.2">
      <c r="A91" s="305"/>
      <c r="B91" s="380"/>
      <c r="C91" s="1211"/>
      <c r="D91" s="396" t="s">
        <v>1026</v>
      </c>
      <c r="E91" s="474" t="str">
        <f>IF(VLOOKUP(CONCATENATE($C$3,"-",$D91),Languages!$A:$D,1,TRUE)=CONCATENATE($C$3,"-",$D91),VLOOKUP(CONCATENATE($C$3,"-",$D91),Languages!$A:$D,Summary!$C$7,TRUE),NA())</f>
        <v>Kyberarkkitehtuuri kattaa suojausmenetelmät sovellusten, laiteohjelmistojen (firmware) ja tiedon luvattomien muutosten varalle.</v>
      </c>
      <c r="F91" s="393">
        <f t="shared" si="4"/>
        <v>0</v>
      </c>
      <c r="G91" s="449" t="s">
        <v>2542</v>
      </c>
      <c r="H91" s="444"/>
      <c r="I91" s="444"/>
      <c r="J91" s="444"/>
      <c r="K91" s="453"/>
      <c r="L91" s="154"/>
      <c r="M91" s="252"/>
      <c r="N91" s="149"/>
      <c r="O91" s="897" t="str">
        <f>VLOOKUP(VLOOKUP($C$3&amp;"-"&amp;$D91,Import!$C:$D,2,FALSE),Parameters!$C$18:$F$22,Summary!$C$7,FALSE)</f>
        <v xml:space="preserve">0 - Vastaus puuttuu </v>
      </c>
      <c r="P91" s="923" t="str">
        <f>IF(VLOOKUP($C$3&amp;"-"&amp;$D91,Import!$C:$H,3,FALSE)=0,"",VLOOKUP($C$3&amp;"-"&amp;$D91,Import!$C:$H,3,FALSE))</f>
        <v/>
      </c>
      <c r="Q91" s="923" t="str">
        <f>IF(VLOOKUP($C$3&amp;"-"&amp;$D91,Import!$C:$H,4,FALSE)=0,"",VLOOKUP($C$3&amp;"-"&amp;$D91,Import!$C:$H,4,FALSE))</f>
        <v/>
      </c>
      <c r="R91" s="923" t="str">
        <f>IF(VLOOKUP($C$3&amp;"-"&amp;$D91,Import!$C:$H,5,FALSE)=0,"",VLOOKUP($C$3&amp;"-"&amp;$D91,Import!$C:$H,5,FALSE))</f>
        <v/>
      </c>
      <c r="S91" s="924" t="str">
        <f>IF(VLOOKUP($C$3&amp;"-"&amp;$D91,Import!$C:$H,6,FALSE)=0,"",VLOOKUP($C$3&amp;"-"&amp;$D91,Import!$C:$H,6,FALSE))</f>
        <v/>
      </c>
      <c r="T91" s="154"/>
      <c r="U91" s="252"/>
    </row>
    <row r="92" spans="1:21" s="177" customFormat="1" ht="30" customHeight="1" x14ac:dyDescent="0.25">
      <c r="A92" s="166"/>
      <c r="B92" s="269"/>
      <c r="C92" s="170">
        <v>6</v>
      </c>
      <c r="D92" s="170" t="str">
        <f>IF(VLOOKUP(CONCATENATE($C$3,"-",C92),Languages!$A:$D,1,TRUE)=CONCATENATE($C$3,"-",C92),VLOOKUP(CONCATENATE($C$3,"-",C92),Languages!$A:$D,Summary!$C$7,TRUE),NA())</f>
        <v>Yleisiä hallintatoimia</v>
      </c>
      <c r="E92" s="170"/>
      <c r="F92" s="292"/>
      <c r="G92" s="907"/>
      <c r="H92" s="929"/>
      <c r="I92" s="929"/>
      <c r="J92" s="929"/>
      <c r="K92" s="929"/>
      <c r="L92" s="154"/>
      <c r="M92" s="252"/>
      <c r="N92" s="149"/>
      <c r="O92" s="292"/>
      <c r="P92" s="293"/>
      <c r="Q92" s="293"/>
      <c r="R92" s="293"/>
      <c r="S92" s="293"/>
      <c r="T92" s="154"/>
      <c r="U92" s="252"/>
    </row>
    <row r="93" spans="1:21" s="285" customFormat="1" ht="19.95" customHeight="1" x14ac:dyDescent="0.2">
      <c r="A93" s="304"/>
      <c r="B93" s="279"/>
      <c r="C93" s="280" t="str">
        <f>IF(VLOOKUP("GEN-LEVEL",Languages!$A:$D,1,TRUE)="GEN-LEVEL",VLOOKUP("GEN-LEVEL",Languages!$A:$D,Summary!$C$7,TRUE),NA())</f>
        <v>Taso</v>
      </c>
      <c r="D93" s="280"/>
      <c r="E93" s="281" t="str">
        <f>IF(VLOOKUP("GEN-PRACTICE",Languages!$A:$D,1,TRUE)="GEN-PRACTICE",VLOOKUP("GEN-PRACTICE",Languages!$A:$D,Summary!$C$7,TRUE),NA())</f>
        <v>Käytäntö</v>
      </c>
      <c r="F93" s="282"/>
      <c r="G93" s="904" t="str">
        <f>IF(VLOOKUP("GEN-ANSWER",Languages!$A:$D,1,TRUE)="GEN-ANSWER",VLOOKUP("GEN-ANSWER",Languages!$A:$D,Summary!$C$7,TRUE),NA())</f>
        <v>Vastaus</v>
      </c>
      <c r="H93" s="905" t="str">
        <f>IF(VLOOKUP("KM112",Languages!$A:$D,1,TRUE)="KM112",VLOOKUP("KM112",Languages!$A:$D,Summary!$C$7,TRUE),NA())</f>
        <v>Kommentit</v>
      </c>
      <c r="I93" s="905" t="str">
        <f>IF(VLOOKUP("KM113",Languages!$A:$D,1,TRUE)="KM113",VLOOKUP("KM113",Languages!$A:$D,Summary!$C$7,TRUE),NA())</f>
        <v>Sisäinen viittaus</v>
      </c>
      <c r="J93" s="905" t="str">
        <f>IF(VLOOKUP("KM114",Languages!$A:$D,1,TRUE)="KM114",VLOOKUP("KM114",Languages!$A:$D,Summary!$C$7,TRUE),NA())</f>
        <v>Ulkoinen viittaus</v>
      </c>
      <c r="K93" s="905" t="str">
        <f>IF(VLOOKUP("KM115",Languages!$A:$D,1,TRUE)="KM115",VLOOKUP("KM115",Languages!$A:$D,Summary!$C$7,TRUE),NA())</f>
        <v>Kehityskohde</v>
      </c>
      <c r="L93" s="283"/>
      <c r="M93" s="284"/>
      <c r="N93" s="279"/>
      <c r="O93" s="463" t="str">
        <f>IF(VLOOKUP("GEN-ANSWER",Languages!$A:$D,1,TRUE)="GEN-ANSWER",VLOOKUP("GEN-ANSWER",Languages!$A:$D,Summary!$C$7,TRUE),NA())</f>
        <v>Vastaus</v>
      </c>
      <c r="P93" s="463" t="str">
        <f>IF(VLOOKUP("KM112",Languages!$A:$D,1,TRUE)="KM112",VLOOKUP("KM112",Languages!$A:$D,Summary!$C$7,TRUE),NA())</f>
        <v>Kommentit</v>
      </c>
      <c r="Q93" s="463" t="str">
        <f>IF(VLOOKUP("KM113",Languages!$A:$D,1,TRUE)="KM113",VLOOKUP("KM113",Languages!$A:$D,Summary!$C$7,TRUE),NA())</f>
        <v>Sisäinen viittaus</v>
      </c>
      <c r="R93" s="463" t="str">
        <f>IF(VLOOKUP("KM114",Languages!$A:$D,1,TRUE)="KM114",VLOOKUP("KM114",Languages!$A:$D,Summary!$C$7,TRUE),NA())</f>
        <v>Ulkoinen viittaus</v>
      </c>
      <c r="S93" s="463" t="str">
        <f>IF(VLOOKUP("KM115",Languages!$A:$D,1,TRUE)="KM115",VLOOKUP("KM115",Languages!$A:$D,Summary!$C$7,TRUE),NA())</f>
        <v>Kehityskohde</v>
      </c>
      <c r="T93" s="283"/>
      <c r="U93" s="284"/>
    </row>
    <row r="94" spans="1:21" s="311" customFormat="1" ht="19.95" customHeight="1" x14ac:dyDescent="0.2">
      <c r="A94" s="284"/>
      <c r="B94" s="279"/>
      <c r="C94" s="457">
        <v>1</v>
      </c>
      <c r="D94" s="401"/>
      <c r="E94" s="402"/>
      <c r="F94" s="404"/>
      <c r="G94" s="908"/>
      <c r="H94" s="909"/>
      <c r="I94" s="909"/>
      <c r="J94" s="909"/>
      <c r="K94" s="910"/>
      <c r="L94" s="154"/>
      <c r="M94" s="252"/>
      <c r="N94" s="149"/>
      <c r="O94" s="517"/>
      <c r="P94" s="403"/>
      <c r="Q94" s="403"/>
      <c r="R94" s="403"/>
      <c r="S94" s="405"/>
      <c r="T94" s="154"/>
      <c r="U94" s="252"/>
    </row>
    <row r="95" spans="1:21" s="296" customFormat="1" ht="34.950000000000003" customHeight="1" x14ac:dyDescent="0.2">
      <c r="A95" s="305"/>
      <c r="B95" s="1199"/>
      <c r="C95" s="1207">
        <v>2</v>
      </c>
      <c r="D95" s="395" t="s">
        <v>1028</v>
      </c>
      <c r="E95" s="467" t="str">
        <f>IF(VLOOKUP(CONCATENATE($C$3,"-",$D95),Languages!$A:$D,1,TRUE)=CONCATENATE($C$3,"-",$D95),VLOOKUP(CONCATENATE($C$3,"-",$D95),Languages!$A:$D,Summary!$C$7,TRUE),NA())</f>
        <v>ARCHITECTURE-osion toimintaa varten on määritetty dokumentoidut toimintatavat, joita noudatetaan ja päivitetään säännöllisesti.</v>
      </c>
      <c r="F95" s="386">
        <f t="shared" ref="F95:F100" si="5">IFERROR(INT(LEFT($G95,1)),0)</f>
        <v>0</v>
      </c>
      <c r="G95" s="445" t="s">
        <v>2542</v>
      </c>
      <c r="H95" s="442"/>
      <c r="I95" s="442"/>
      <c r="J95" s="442"/>
      <c r="K95" s="451"/>
      <c r="L95" s="154"/>
      <c r="M95" s="252"/>
      <c r="N95" s="149"/>
      <c r="O95" s="889" t="str">
        <f>VLOOKUP(VLOOKUP($C$3&amp;"-"&amp;$D95,Import!$C:$D,2,FALSE),Parameters!$C$18:$F$22,Summary!$C$7,FALSE)</f>
        <v xml:space="preserve">0 - Vastaus puuttuu </v>
      </c>
      <c r="P95" s="921" t="str">
        <f>IF(VLOOKUP($C$3&amp;"-"&amp;$D95,Import!$C:$H,3,FALSE)=0,"",VLOOKUP($C$3&amp;"-"&amp;$D95,Import!$C:$H,3,FALSE))</f>
        <v/>
      </c>
      <c r="Q95" s="921" t="str">
        <f>IF(VLOOKUP($C$3&amp;"-"&amp;$D95,Import!$C:$H,4,FALSE)=0,"",VLOOKUP($C$3&amp;"-"&amp;$D95,Import!$C:$H,4,FALSE))</f>
        <v/>
      </c>
      <c r="R95" s="921" t="str">
        <f>IF(VLOOKUP($C$3&amp;"-"&amp;$D95,Import!$C:$H,5,FALSE)=0,"",VLOOKUP($C$3&amp;"-"&amp;$D95,Import!$C:$H,5,FALSE))</f>
        <v/>
      </c>
      <c r="S95" s="922" t="str">
        <f>IF(VLOOKUP($C$3&amp;"-"&amp;$D95,Import!$C:$H,6,FALSE)=0,"",VLOOKUP($C$3&amp;"-"&amp;$D95,Import!$C:$H,6,FALSE))</f>
        <v/>
      </c>
      <c r="T95" s="154"/>
      <c r="U95" s="252"/>
    </row>
    <row r="96" spans="1:21" s="296" customFormat="1" ht="34.950000000000003" customHeight="1" x14ac:dyDescent="0.2">
      <c r="A96" s="305"/>
      <c r="B96" s="1199"/>
      <c r="C96" s="1208"/>
      <c r="D96" s="396" t="s">
        <v>1029</v>
      </c>
      <c r="E96" s="474" t="str">
        <f>IF(VLOOKUP(CONCATENATE($C$3,"-",$D96),Languages!$A:$D,1,TRUE)=CONCATENATE($C$3,"-",$D96),VLOOKUP(CONCATENATE($C$3,"-",$D96),Languages!$A:$D,Summary!$C$7,TRUE),NA())</f>
        <v>ARCHITECTURE-osion toimintaa varten on tarjolla riittävät resurssit (henkilöstö, rahoitus ja työkalut).</v>
      </c>
      <c r="F96" s="393">
        <f t="shared" si="5"/>
        <v>0</v>
      </c>
      <c r="G96" s="449" t="s">
        <v>2542</v>
      </c>
      <c r="H96" s="444"/>
      <c r="I96" s="444"/>
      <c r="J96" s="444"/>
      <c r="K96" s="453"/>
      <c r="L96" s="154"/>
      <c r="M96" s="252"/>
      <c r="N96" s="149"/>
      <c r="O96" s="897" t="str">
        <f>VLOOKUP(VLOOKUP($C$3&amp;"-"&amp;$D96,Import!$C:$D,2,FALSE),Parameters!$C$18:$F$22,Summary!$C$7,FALSE)</f>
        <v xml:space="preserve">0 - Vastaus puuttuu </v>
      </c>
      <c r="P96" s="923" t="str">
        <f>IF(VLOOKUP($C$3&amp;"-"&amp;$D96,Import!$C:$H,3,FALSE)=0,"",VLOOKUP($C$3&amp;"-"&amp;$D96,Import!$C:$H,3,FALSE))</f>
        <v/>
      </c>
      <c r="Q96" s="923" t="str">
        <f>IF(VLOOKUP($C$3&amp;"-"&amp;$D96,Import!$C:$H,4,FALSE)=0,"",VLOOKUP($C$3&amp;"-"&amp;$D96,Import!$C:$H,4,FALSE))</f>
        <v/>
      </c>
      <c r="R96" s="923" t="str">
        <f>IF(VLOOKUP($C$3&amp;"-"&amp;$D96,Import!$C:$H,5,FALSE)=0,"",VLOOKUP($C$3&amp;"-"&amp;$D96,Import!$C:$H,5,FALSE))</f>
        <v/>
      </c>
      <c r="S96" s="924" t="str">
        <f>IF(VLOOKUP($C$3&amp;"-"&amp;$D96,Import!$C:$H,6,FALSE)=0,"",VLOOKUP($C$3&amp;"-"&amp;$D96,Import!$C:$H,6,FALSE))</f>
        <v/>
      </c>
      <c r="T96" s="154"/>
      <c r="U96" s="252"/>
    </row>
    <row r="97" spans="1:21" s="296" customFormat="1" ht="45" customHeight="1" x14ac:dyDescent="0.2">
      <c r="A97" s="305"/>
      <c r="B97" s="1199"/>
      <c r="C97" s="1244">
        <v>3</v>
      </c>
      <c r="D97" s="395" t="s">
        <v>1030</v>
      </c>
      <c r="E97" s="467" t="str">
        <f>IF(VLOOKUP(CONCATENATE($C$3,"-",$D97),Languages!$A:$D,1,TRUE)=CONCATENATE($C$3,"-",$D97),VLOOKUP(CONCATENATE($C$3,"-",$D97),Languages!$A:$D,Summary!$C$7,TRUE),NA())</f>
        <v>ARCHITECTURE-osion toimintaa ohjataan vaatimuksilla, jotka on asetettu organisaation johtotason politiikassa (tai vastaavassa ohjeistuksessa).</v>
      </c>
      <c r="F97" s="386">
        <f t="shared" si="5"/>
        <v>0</v>
      </c>
      <c r="G97" s="445" t="s">
        <v>2542</v>
      </c>
      <c r="H97" s="442"/>
      <c r="I97" s="442"/>
      <c r="J97" s="442"/>
      <c r="K97" s="451"/>
      <c r="L97" s="154"/>
      <c r="M97" s="252"/>
      <c r="N97" s="149"/>
      <c r="O97" s="889" t="str">
        <f>VLOOKUP(VLOOKUP($C$3&amp;"-"&amp;$D97,Import!$C:$D,2,FALSE),Parameters!$C$18:$F$22,Summary!$C$7,FALSE)</f>
        <v xml:space="preserve">0 - Vastaus puuttuu </v>
      </c>
      <c r="P97" s="921" t="str">
        <f>IF(VLOOKUP($C$3&amp;"-"&amp;$D97,Import!$C:$H,3,FALSE)=0,"",VLOOKUP($C$3&amp;"-"&amp;$D97,Import!$C:$H,3,FALSE))</f>
        <v/>
      </c>
      <c r="Q97" s="921" t="str">
        <f>IF(VLOOKUP($C$3&amp;"-"&amp;$D97,Import!$C:$H,4,FALSE)=0,"",VLOOKUP($C$3&amp;"-"&amp;$D97,Import!$C:$H,4,FALSE))</f>
        <v/>
      </c>
      <c r="R97" s="921" t="str">
        <f>IF(VLOOKUP($C$3&amp;"-"&amp;$D97,Import!$C:$H,5,FALSE)=0,"",VLOOKUP($C$3&amp;"-"&amp;$D97,Import!$C:$H,5,FALSE))</f>
        <v/>
      </c>
      <c r="S97" s="922" t="str">
        <f>IF(VLOOKUP($C$3&amp;"-"&amp;$D97,Import!$C:$H,6,FALSE)=0,"",VLOOKUP($C$3&amp;"-"&amp;$D97,Import!$C:$H,6,FALSE))</f>
        <v/>
      </c>
      <c r="T97" s="154"/>
      <c r="U97" s="252"/>
    </row>
    <row r="98" spans="1:21" s="296" customFormat="1" ht="34.950000000000003" customHeight="1" x14ac:dyDescent="0.2">
      <c r="A98" s="305"/>
      <c r="B98" s="1199"/>
      <c r="C98" s="1245"/>
      <c r="D98" s="294" t="s">
        <v>1031</v>
      </c>
      <c r="E98" s="468" t="str">
        <f>IF(VLOOKUP(CONCATENATE($C$3,"-",$D98),Languages!$A:$D,1,TRUE)=CONCATENATE($C$3,"-",$D98),VLOOKUP(CONCATENATE($C$3,"-",$D98),Languages!$A:$D,Summary!$C$7,TRUE),NA())</f>
        <v>ARCHITECTURE-osion toiminnan suorittamiseen tarvittavat vastuut, tilivelvollisuudet ja valtuutukset on jalkautettu soveltuville työntekijöille.</v>
      </c>
      <c r="F98" s="287">
        <f t="shared" si="5"/>
        <v>0</v>
      </c>
      <c r="G98" s="307" t="s">
        <v>2542</v>
      </c>
      <c r="H98" s="443"/>
      <c r="I98" s="443"/>
      <c r="J98" s="443"/>
      <c r="K98" s="452"/>
      <c r="L98" s="154"/>
      <c r="M98" s="252"/>
      <c r="N98" s="149"/>
      <c r="O98" s="892" t="str">
        <f>VLOOKUP(VLOOKUP($C$3&amp;"-"&amp;$D98,Import!$C:$D,2,FALSE),Parameters!$C$18:$F$22,Summary!$C$7,FALSE)</f>
        <v xml:space="preserve">0 - Vastaus puuttuu </v>
      </c>
      <c r="P98" s="916" t="str">
        <f>IF(VLOOKUP($C$3&amp;"-"&amp;$D98,Import!$C:$H,3,FALSE)=0,"",VLOOKUP($C$3&amp;"-"&amp;$D98,Import!$C:$H,3,FALSE))</f>
        <v/>
      </c>
      <c r="Q98" s="916" t="str">
        <f>IF(VLOOKUP($C$3&amp;"-"&amp;$D98,Import!$C:$H,4,FALSE)=0,"",VLOOKUP($C$3&amp;"-"&amp;$D98,Import!$C:$H,4,FALSE))</f>
        <v/>
      </c>
      <c r="R98" s="916" t="str">
        <f>IF(VLOOKUP($C$3&amp;"-"&amp;$D98,Import!$C:$H,5,FALSE)=0,"",VLOOKUP($C$3&amp;"-"&amp;$D98,Import!$C:$H,5,FALSE))</f>
        <v/>
      </c>
      <c r="S98" s="917" t="str">
        <f>IF(VLOOKUP($C$3&amp;"-"&amp;$D98,Import!$C:$H,6,FALSE)=0,"",VLOOKUP($C$3&amp;"-"&amp;$D98,Import!$C:$H,6,FALSE))</f>
        <v/>
      </c>
      <c r="T98" s="154"/>
      <c r="U98" s="252"/>
    </row>
    <row r="99" spans="1:21" s="296" customFormat="1" ht="45" customHeight="1" x14ac:dyDescent="0.2">
      <c r="A99" s="305"/>
      <c r="B99" s="1199"/>
      <c r="C99" s="1245"/>
      <c r="D99" s="294" t="s">
        <v>1032</v>
      </c>
      <c r="E99" s="468" t="str">
        <f>IF(VLOOKUP(CONCATENATE($C$3,"-",$D99),Languages!$A:$D,1,TRUE)=CONCATENATE($C$3,"-",$D99),VLOOKUP(CONCATENATE($C$3,"-",$D99),Languages!$A:$D,Summary!$C$7,TRUE),NA())</f>
        <v>ARCHITECTURE-osion toimintaa suorittavilla työntekijöillä on riittävät tiedot ja taidot tehtäviensä suorittamiseen.</v>
      </c>
      <c r="F99" s="287">
        <f t="shared" si="5"/>
        <v>0</v>
      </c>
      <c r="G99" s="307" t="s">
        <v>2542</v>
      </c>
      <c r="H99" s="443"/>
      <c r="I99" s="443"/>
      <c r="J99" s="443"/>
      <c r="K99" s="452"/>
      <c r="L99" s="154"/>
      <c r="M99" s="252"/>
      <c r="N99" s="149"/>
      <c r="O99" s="892" t="str">
        <f>VLOOKUP(VLOOKUP($C$3&amp;"-"&amp;$D99,Import!$C:$D,2,FALSE),Parameters!$C$18:$F$22,Summary!$C$7,FALSE)</f>
        <v xml:space="preserve">0 - Vastaus puuttuu </v>
      </c>
      <c r="P99" s="916" t="str">
        <f>IF(VLOOKUP($C$3&amp;"-"&amp;$D99,Import!$C:$H,3,FALSE)=0,"",VLOOKUP($C$3&amp;"-"&amp;$D99,Import!$C:$H,3,FALSE))</f>
        <v/>
      </c>
      <c r="Q99" s="916" t="str">
        <f>IF(VLOOKUP($C$3&amp;"-"&amp;$D99,Import!$C:$H,4,FALSE)=0,"",VLOOKUP($C$3&amp;"-"&amp;$D99,Import!$C:$H,4,FALSE))</f>
        <v/>
      </c>
      <c r="R99" s="916" t="str">
        <f>IF(VLOOKUP($C$3&amp;"-"&amp;$D99,Import!$C:$H,5,FALSE)=0,"",VLOOKUP($C$3&amp;"-"&amp;$D99,Import!$C:$H,5,FALSE))</f>
        <v/>
      </c>
      <c r="S99" s="917" t="str">
        <f>IF(VLOOKUP($C$3&amp;"-"&amp;$D99,Import!$C:$H,6,FALSE)=0,"",VLOOKUP($C$3&amp;"-"&amp;$D99,Import!$C:$H,6,FALSE))</f>
        <v/>
      </c>
      <c r="T99" s="154"/>
      <c r="U99" s="252"/>
    </row>
    <row r="100" spans="1:21" s="296" customFormat="1" ht="34.950000000000003" customHeight="1" x14ac:dyDescent="0.2">
      <c r="A100" s="305"/>
      <c r="B100" s="1199"/>
      <c r="C100" s="1246"/>
      <c r="D100" s="396" t="s">
        <v>1033</v>
      </c>
      <c r="E100" s="474" t="str">
        <f>IF(VLOOKUP(CONCATENATE($C$3,"-",$D100),Languages!$A:$D,1,TRUE)=CONCATENATE($C$3,"-",$D100),VLOOKUP(CONCATENATE($C$3,"-",$D100),Languages!$A:$D,Summary!$C$7,TRUE),NA())</f>
        <v>ARCHITECTURE-osion toiminnan vaikuttavuutta arvioidaan ja seurataan.</v>
      </c>
      <c r="F100" s="393">
        <f t="shared" si="5"/>
        <v>0</v>
      </c>
      <c r="G100" s="449" t="s">
        <v>2542</v>
      </c>
      <c r="H100" s="444"/>
      <c r="I100" s="444"/>
      <c r="J100" s="444"/>
      <c r="K100" s="453"/>
      <c r="L100" s="154"/>
      <c r="M100" s="252"/>
      <c r="N100" s="149"/>
      <c r="O100" s="897" t="str">
        <f>VLOOKUP(VLOOKUP($C$3&amp;"-"&amp;$D100,Import!$C:$D,2,FALSE),Parameters!$C$18:$F$22,Summary!$C$7,FALSE)</f>
        <v xml:space="preserve">0 - Vastaus puuttuu </v>
      </c>
      <c r="P100" s="923" t="str">
        <f>IF(VLOOKUP($C$3&amp;"-"&amp;$D100,Import!$C:$H,3,FALSE)=0,"",VLOOKUP($C$3&amp;"-"&amp;$D100,Import!$C:$H,3,FALSE))</f>
        <v/>
      </c>
      <c r="Q100" s="923" t="str">
        <f>IF(VLOOKUP($C$3&amp;"-"&amp;$D100,Import!$C:$H,4,FALSE)=0,"",VLOOKUP($C$3&amp;"-"&amp;$D100,Import!$C:$H,4,FALSE))</f>
        <v/>
      </c>
      <c r="R100" s="923" t="str">
        <f>IF(VLOOKUP($C$3&amp;"-"&amp;$D100,Import!$C:$H,5,FALSE)=0,"",VLOOKUP($C$3&amp;"-"&amp;$D100,Import!$C:$H,5,FALSE))</f>
        <v/>
      </c>
      <c r="S100" s="924" t="str">
        <f>IF(VLOOKUP($C$3&amp;"-"&amp;$D100,Import!$C:$H,6,FALSE)=0,"",VLOOKUP($C$3&amp;"-"&amp;$D100,Import!$C:$H,6,FALSE))</f>
        <v/>
      </c>
      <c r="T100" s="154"/>
      <c r="U100" s="252"/>
    </row>
    <row r="101" spans="1:21" x14ac:dyDescent="0.2">
      <c r="A101" s="181"/>
      <c r="B101" s="329"/>
      <c r="C101" s="330"/>
      <c r="D101" s="331"/>
      <c r="E101" s="332"/>
      <c r="F101" s="333"/>
      <c r="G101" s="334"/>
      <c r="H101" s="335"/>
      <c r="I101" s="335"/>
      <c r="J101" s="335"/>
      <c r="K101" s="335"/>
      <c r="L101" s="154"/>
      <c r="M101" s="252"/>
      <c r="N101" s="149"/>
      <c r="O101" s="334"/>
      <c r="P101" s="335"/>
      <c r="Q101" s="335"/>
      <c r="R101" s="335"/>
      <c r="S101" s="335"/>
      <c r="T101" s="154"/>
      <c r="U101" s="252"/>
    </row>
    <row r="102" spans="1:21" x14ac:dyDescent="0.25">
      <c r="A102" s="181"/>
      <c r="B102" s="181"/>
      <c r="C102" s="181"/>
      <c r="D102" s="181"/>
      <c r="E102" s="181"/>
      <c r="F102" s="336"/>
      <c r="G102" s="181"/>
      <c r="H102" s="181"/>
      <c r="I102" s="181"/>
      <c r="J102" s="181"/>
      <c r="K102" s="181"/>
      <c r="L102" s="476"/>
      <c r="M102" s="342"/>
      <c r="N102" s="476"/>
      <c r="O102" s="181"/>
      <c r="P102" s="181"/>
      <c r="Q102" s="181"/>
      <c r="R102" s="181"/>
      <c r="S102" s="181"/>
      <c r="T102" s="476"/>
      <c r="U102" s="342"/>
    </row>
  </sheetData>
  <sheetProtection sheet="1" formatCells="0" formatColumns="0" formatRows="0"/>
  <mergeCells count="54">
    <mergeCell ref="O24:O25"/>
    <mergeCell ref="P24:P25"/>
    <mergeCell ref="Q24:Q25"/>
    <mergeCell ref="R24:R25"/>
    <mergeCell ref="S24:S25"/>
    <mergeCell ref="O22:O23"/>
    <mergeCell ref="P22:P23"/>
    <mergeCell ref="Q22:Q23"/>
    <mergeCell ref="R22:R23"/>
    <mergeCell ref="S22:S23"/>
    <mergeCell ref="O20:O21"/>
    <mergeCell ref="P20:P21"/>
    <mergeCell ref="Q20:Q21"/>
    <mergeCell ref="R20:R21"/>
    <mergeCell ref="S20:S21"/>
    <mergeCell ref="R16:R17"/>
    <mergeCell ref="S16:S17"/>
    <mergeCell ref="O18:O19"/>
    <mergeCell ref="P18:P19"/>
    <mergeCell ref="Q18:Q19"/>
    <mergeCell ref="R18:R19"/>
    <mergeCell ref="S18:S19"/>
    <mergeCell ref="B99:B100"/>
    <mergeCell ref="B95:B98"/>
    <mergeCell ref="C14:K14"/>
    <mergeCell ref="C95:C96"/>
    <mergeCell ref="C97:C100"/>
    <mergeCell ref="C90:C91"/>
    <mergeCell ref="C85:C89"/>
    <mergeCell ref="C58:C59"/>
    <mergeCell ref="C60:C68"/>
    <mergeCell ref="C77:C81"/>
    <mergeCell ref="C74:C76"/>
    <mergeCell ref="C16:K16"/>
    <mergeCell ref="C18:K18"/>
    <mergeCell ref="C20:K20"/>
    <mergeCell ref="C22:K22"/>
    <mergeCell ref="C24:K24"/>
    <mergeCell ref="C44:C45"/>
    <mergeCell ref="C46:C50"/>
    <mergeCell ref="O3:S12"/>
    <mergeCell ref="C6:K6"/>
    <mergeCell ref="I8:J8"/>
    <mergeCell ref="I10:J11"/>
    <mergeCell ref="C32:C37"/>
    <mergeCell ref="C38:C41"/>
    <mergeCell ref="O14:O15"/>
    <mergeCell ref="P14:P15"/>
    <mergeCell ref="Q14:Q15"/>
    <mergeCell ref="R14:R15"/>
    <mergeCell ref="S14:S15"/>
    <mergeCell ref="O16:O17"/>
    <mergeCell ref="P16:P17"/>
    <mergeCell ref="Q16:Q17"/>
  </mergeCells>
  <conditionalFormatting sqref="F13 F42 F56 F59:F62 F71 F92 F94:F1048576 F73:F80 F44:F46 F31:F40">
    <cfRule type="containsText" dxfId="128" priority="53" operator="containsText" text="0">
      <formula>NOT(ISERROR(SEARCH("0",F13)))</formula>
    </cfRule>
  </conditionalFormatting>
  <conditionalFormatting sqref="F94">
    <cfRule type="containsText" dxfId="127" priority="51" operator="containsText" text="0">
      <formula>NOT(ISERROR(SEARCH("0",F94)))</formula>
    </cfRule>
  </conditionalFormatting>
  <conditionalFormatting sqref="F4:F5 F7:F11">
    <cfRule type="containsText" dxfId="126" priority="49" operator="containsText" text="0">
      <formula>NOT(ISERROR(SEARCH("0",F4)))</formula>
    </cfRule>
  </conditionalFormatting>
  <conditionalFormatting sqref="F12">
    <cfRule type="containsText" dxfId="125" priority="45" operator="containsText" text="0">
      <formula>NOT(ISERROR(SEARCH("0",F12)))</formula>
    </cfRule>
  </conditionalFormatting>
  <conditionalFormatting sqref="F82 F84:F91">
    <cfRule type="containsText" dxfId="124" priority="44" operator="containsText" text="0">
      <formula>NOT(ISERROR(SEARCH("0",F82)))</formula>
    </cfRule>
  </conditionalFormatting>
  <conditionalFormatting sqref="F41">
    <cfRule type="containsText" dxfId="123" priority="42" operator="containsText" text="0">
      <formula>NOT(ISERROR(SEARCH("0",F41)))</formula>
    </cfRule>
  </conditionalFormatting>
  <conditionalFormatting sqref="F47:F55">
    <cfRule type="containsText" dxfId="122" priority="40" operator="containsText" text="0">
      <formula>NOT(ISERROR(SEARCH("0",F47)))</formula>
    </cfRule>
  </conditionalFormatting>
  <conditionalFormatting sqref="F58">
    <cfRule type="containsText" dxfId="121" priority="38" operator="containsText" text="0">
      <formula>NOT(ISERROR(SEARCH("0",F58)))</formula>
    </cfRule>
  </conditionalFormatting>
  <conditionalFormatting sqref="F63:F70">
    <cfRule type="containsText" dxfId="120" priority="36" operator="containsText" text="0">
      <formula>NOT(ISERROR(SEARCH("0",F63)))</formula>
    </cfRule>
  </conditionalFormatting>
  <conditionalFormatting sqref="G73">
    <cfRule type="containsText" dxfId="119" priority="34" operator="containsText" text="0">
      <formula>NOT(ISERROR(SEARCH("0",G73)))</formula>
    </cfRule>
  </conditionalFormatting>
  <conditionalFormatting sqref="F81">
    <cfRule type="containsText" dxfId="118" priority="32" operator="containsText" text="0">
      <formula>NOT(ISERROR(SEARCH("0",F81)))</formula>
    </cfRule>
  </conditionalFormatting>
  <conditionalFormatting sqref="F1 F3">
    <cfRule type="containsText" dxfId="117" priority="28" operator="containsText" text="0">
      <formula>NOT(ISERROR(SEARCH("0",F1)))</formula>
    </cfRule>
  </conditionalFormatting>
  <conditionalFormatting sqref="F2">
    <cfRule type="containsText" dxfId="116" priority="27" operator="containsText" text="0">
      <formula>NOT(ISERROR(SEARCH("0",F2)))</formula>
    </cfRule>
  </conditionalFormatting>
  <conditionalFormatting sqref="O73">
    <cfRule type="containsText" dxfId="115" priority="26" operator="containsText" text="0">
      <formula>NOT(ISERROR(SEARCH("0",O73)))</formula>
    </cfRule>
  </conditionalFormatting>
  <conditionalFormatting sqref="F93">
    <cfRule type="containsText" dxfId="114" priority="23" operator="containsText" text="0">
      <formula>NOT(ISERROR(SEARCH("0",F93)))</formula>
    </cfRule>
  </conditionalFormatting>
  <conditionalFormatting sqref="F83">
    <cfRule type="containsText" dxfId="113" priority="21" operator="containsText" text="0">
      <formula>NOT(ISERROR(SEARCH("0",F83)))</formula>
    </cfRule>
  </conditionalFormatting>
  <conditionalFormatting sqref="F72">
    <cfRule type="containsText" dxfId="112" priority="19" operator="containsText" text="0">
      <formula>NOT(ISERROR(SEARCH("0",F72)))</formula>
    </cfRule>
  </conditionalFormatting>
  <conditionalFormatting sqref="F57">
    <cfRule type="containsText" dxfId="111" priority="17" operator="containsText" text="0">
      <formula>NOT(ISERROR(SEARCH("0",F57)))</formula>
    </cfRule>
  </conditionalFormatting>
  <conditionalFormatting sqref="F43">
    <cfRule type="containsText" dxfId="110" priority="15" operator="containsText" text="0">
      <formula>NOT(ISERROR(SEARCH("0",F43)))</formula>
    </cfRule>
  </conditionalFormatting>
  <conditionalFormatting sqref="F30">
    <cfRule type="containsText" dxfId="109" priority="13" operator="containsText" text="0">
      <formula>NOT(ISERROR(SEARCH("0",F30)))</formula>
    </cfRule>
  </conditionalFormatting>
  <conditionalFormatting sqref="F15">
    <cfRule type="containsText" dxfId="108" priority="11" operator="containsText" text="0">
      <formula>NOT(ISERROR(SEARCH("0",F15)))</formula>
    </cfRule>
  </conditionalFormatting>
  <conditionalFormatting sqref="F17">
    <cfRule type="containsText" dxfId="107" priority="9" operator="containsText" text="0">
      <formula>NOT(ISERROR(SEARCH("0",F17)))</formula>
    </cfRule>
  </conditionalFormatting>
  <conditionalFormatting sqref="F19">
    <cfRule type="containsText" dxfId="106" priority="7" operator="containsText" text="0">
      <formula>NOT(ISERROR(SEARCH("0",F19)))</formula>
    </cfRule>
  </conditionalFormatting>
  <conditionalFormatting sqref="F21">
    <cfRule type="containsText" dxfId="105" priority="5" operator="containsText" text="0">
      <formula>NOT(ISERROR(SEARCH("0",F21)))</formula>
    </cfRule>
  </conditionalFormatting>
  <conditionalFormatting sqref="F23">
    <cfRule type="containsText" dxfId="104" priority="3" operator="containsText" text="0">
      <formula>NOT(ISERROR(SEARCH("0",F23)))</formula>
    </cfRule>
  </conditionalFormatting>
  <conditionalFormatting sqref="F29">
    <cfRule type="containsText" dxfId="103" priority="1" operator="containsText" text="0">
      <formula>NOT(ISERROR(SEARCH("0",F29)))</formula>
    </cfRule>
  </conditionalFormatting>
  <pageMargins left="0.7" right="0.7" top="0.75" bottom="0.75" header="0.3" footer="0.3"/>
  <pageSetup paperSize="9" scale="36" orientation="portrait" r:id="rId1"/>
  <rowBreaks count="1" manualBreakCount="1">
    <brk id="55" max="16383" man="1"/>
  </rowBreaks>
  <colBreaks count="1" manualBreakCount="1">
    <brk id="13" max="1048575" man="1"/>
  </colBreaks>
  <ignoredErrors>
    <ignoredError sqref="O31:S39 O44:S55 O70:S70 O74:S81 O84:S91 O95:S100 O41:S41 O58:S66"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52" id="{44C2085E-4B36-4C31-A417-CA66B0FD0C8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F94</xm:sqref>
        </x14:conditionalFormatting>
        <x14:conditionalFormatting xmlns:xm="http://schemas.microsoft.com/office/excel/2006/main">
          <x14:cfRule type="iconSet" priority="46" id="{72E99020-F6A9-4B93-9A95-C6EBDF10337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F12</xm:sqref>
        </x14:conditionalFormatting>
        <x14:conditionalFormatting xmlns:xm="http://schemas.microsoft.com/office/excel/2006/main">
          <x14:cfRule type="iconSet" priority="41" id="{EA6D6993-00F0-44AC-B1C2-A8FA66CCD0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F41</xm:sqref>
        </x14:conditionalFormatting>
        <x14:conditionalFormatting xmlns:xm="http://schemas.microsoft.com/office/excel/2006/main">
          <x14:cfRule type="iconSet" priority="39" id="{E738ADC8-DD4D-4490-AEAF-AD67817C834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F47:F55</xm:sqref>
        </x14:conditionalFormatting>
        <x14:conditionalFormatting xmlns:xm="http://schemas.microsoft.com/office/excel/2006/main">
          <x14:cfRule type="iconSet" priority="37" id="{ED38C933-F44D-4437-B9BD-08F38ACF938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xm:sqref>
        </x14:conditionalFormatting>
        <x14:conditionalFormatting xmlns:xm="http://schemas.microsoft.com/office/excel/2006/main">
          <x14:cfRule type="iconSet" priority="35" id="{5ECC6C60-D8ED-40B1-83E2-71DE219581E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F63:F70</xm:sqref>
        </x14:conditionalFormatting>
        <x14:conditionalFormatting xmlns:xm="http://schemas.microsoft.com/office/excel/2006/main">
          <x14:cfRule type="iconSet" priority="33" id="{FEB9A067-2F1D-4A77-A290-28BB3159675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G73</xm:sqref>
        </x14:conditionalFormatting>
        <x14:conditionalFormatting xmlns:xm="http://schemas.microsoft.com/office/excel/2006/main">
          <x14:cfRule type="iconSet" priority="31" id="{4A35EF39-8C4A-44DF-BB20-7B8B9453C9F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F81</xm:sqref>
        </x14:conditionalFormatting>
        <x14:conditionalFormatting xmlns:xm="http://schemas.microsoft.com/office/excel/2006/main">
          <x14:cfRule type="iconSet" priority="506" id="{7C426902-0367-45AC-A385-4DC12FC24B6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F94:F1048576 F92 F4:F5 F13 F42 F56 F59:F62 F71 F7:F11 F73:F80 F44:F46 F31:F40</xm:sqref>
        </x14:conditionalFormatting>
        <x14:conditionalFormatting xmlns:xm="http://schemas.microsoft.com/office/excel/2006/main">
          <x14:cfRule type="iconSet" priority="514" id="{9D49D07C-231C-4ADF-98E9-E98E0981329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F84:F91 F82</xm:sqref>
        </x14:conditionalFormatting>
        <x14:conditionalFormatting xmlns:xm="http://schemas.microsoft.com/office/excel/2006/main">
          <x14:cfRule type="iconSet" priority="29" id="{27458304-B911-481B-8AA9-D0E9CD0A8B6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30" id="{F216F285-EA22-4699-9F53-AFF0F67D242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5" id="{ED491232-76D6-45AA-98CC-48BB9195072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O73</xm:sqref>
        </x14:conditionalFormatting>
        <x14:conditionalFormatting xmlns:xm="http://schemas.microsoft.com/office/excel/2006/main">
          <x14:cfRule type="iconSet" priority="24" id="{77331A11-FE79-4129-B3E3-C68E57F8F8C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F93</xm:sqref>
        </x14:conditionalFormatting>
        <x14:conditionalFormatting xmlns:xm="http://schemas.microsoft.com/office/excel/2006/main">
          <x14:cfRule type="iconSet" priority="22" id="{71EB4BAA-0DAF-4C09-9D80-9C3EE276F14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F83</xm:sqref>
        </x14:conditionalFormatting>
        <x14:conditionalFormatting xmlns:xm="http://schemas.microsoft.com/office/excel/2006/main">
          <x14:cfRule type="iconSet" priority="20" id="{6B918104-6503-467E-94DC-B13EF5B31A2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F72</xm:sqref>
        </x14:conditionalFormatting>
        <x14:conditionalFormatting xmlns:xm="http://schemas.microsoft.com/office/excel/2006/main">
          <x14:cfRule type="iconSet" priority="18" id="{6C8E3E08-14A3-406B-9460-AB7C05D749E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F57</xm:sqref>
        </x14:conditionalFormatting>
        <x14:conditionalFormatting xmlns:xm="http://schemas.microsoft.com/office/excel/2006/main">
          <x14:cfRule type="iconSet" priority="16" id="{5E1F40FE-181F-4DBF-A530-E1DC0876279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F43</xm:sqref>
        </x14:conditionalFormatting>
        <x14:conditionalFormatting xmlns:xm="http://schemas.microsoft.com/office/excel/2006/main">
          <x14:cfRule type="iconSet" priority="14" id="{24EF663D-16AA-404D-A521-33C067B958F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F30</xm:sqref>
        </x14:conditionalFormatting>
        <x14:conditionalFormatting xmlns:xm="http://schemas.microsoft.com/office/excel/2006/main">
          <x14:cfRule type="iconSet" priority="12" id="{1CF974CA-DE2D-47AD-8652-D8A52D27F15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F15</xm:sqref>
        </x14:conditionalFormatting>
        <x14:conditionalFormatting xmlns:xm="http://schemas.microsoft.com/office/excel/2006/main">
          <x14:cfRule type="iconSet" priority="10" id="{B301AAFF-BF49-4482-B42F-9B8B2F7902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F17</xm:sqref>
        </x14:conditionalFormatting>
        <x14:conditionalFormatting xmlns:xm="http://schemas.microsoft.com/office/excel/2006/main">
          <x14:cfRule type="iconSet" priority="8" id="{D582360D-B1DC-4C03-B4F6-3BEA7287163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F19</xm:sqref>
        </x14:conditionalFormatting>
        <x14:conditionalFormatting xmlns:xm="http://schemas.microsoft.com/office/excel/2006/main">
          <x14:cfRule type="iconSet" priority="6" id="{A78D8E8C-00CA-4D3B-8E9E-9C8DCC9ADC7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xm:sqref>
        </x14:conditionalFormatting>
        <x14:conditionalFormatting xmlns:xm="http://schemas.microsoft.com/office/excel/2006/main">
          <x14:cfRule type="iconSet" priority="4" id="{4869D628-7618-47BD-BB03-25589C9BE16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2" id="{25A59003-7FAB-4FBC-A3CB-F38831565D3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Parameters!$B$18:$B$22</xm:f>
          </x14:formula1>
          <xm:sqref>G95:G100 G44:G55 G31:G41 G84:G91 G58:G70 G74:G81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2" tint="0.79998168889431442"/>
  </sheetPr>
  <dimension ref="A1:U54"/>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10"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style="246" customWidth="1"/>
    <col min="17" max="17" width="20.6328125" style="246" customWidth="1"/>
    <col min="18" max="18" width="20.6328125" style="310"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819"/>
      <c r="O2" s="820"/>
      <c r="P2" s="820"/>
      <c r="Q2" s="820"/>
      <c r="R2" s="820"/>
      <c r="S2" s="820"/>
      <c r="T2" s="821"/>
      <c r="U2" s="252"/>
    </row>
    <row r="3" spans="1:21" s="257" customFormat="1" ht="25.05" customHeight="1" x14ac:dyDescent="0.25">
      <c r="A3" s="252"/>
      <c r="B3" s="149"/>
      <c r="C3" s="150" t="s">
        <v>79</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22"/>
      <c r="O3" s="1184" t="str">
        <f>VLOOKUP($C$3,Infoimport!$B$4:$C$14,2,FALSE)</f>
        <v>PROGRAM, tiedot Infoimport-välilehdeltä</v>
      </c>
      <c r="P3" s="1184"/>
      <c r="Q3" s="1184"/>
      <c r="R3" s="1184"/>
      <c r="S3" s="1184"/>
      <c r="T3" s="823"/>
      <c r="U3" s="252"/>
    </row>
    <row r="4" spans="1:21" s="318" customFormat="1" ht="25.05" customHeight="1" x14ac:dyDescent="0.3">
      <c r="A4" s="316"/>
      <c r="B4" s="317"/>
      <c r="C4" s="155" t="str">
        <f>IF(VLOOKUP($C$3,Languages!$A:$D,1,TRUE)=$C$3,VLOOKUP($C$3,Languages!$A:$D,Summary!$C$7,TRUE),NA())</f>
        <v>Kyberturvallisuuden hallinta (PROGRAM)</v>
      </c>
      <c r="D4" s="258"/>
      <c r="E4" s="259"/>
      <c r="F4" s="320"/>
      <c r="G4" s="343"/>
      <c r="H4" s="261" t="str">
        <f ca="1">VLOOKUP(VLOOKUP(CONCATENATE($C$3),Data!$K:$O,5,FALSE),Parameters!$C$7:$F$10,Summary!$C$7,FALSE)</f>
        <v>Kypsyystaso 0</v>
      </c>
      <c r="I4" s="697"/>
      <c r="J4" s="262"/>
      <c r="K4" s="148"/>
      <c r="L4" s="154"/>
      <c r="M4" s="252"/>
      <c r="N4" s="822"/>
      <c r="O4" s="1184"/>
      <c r="P4" s="1184"/>
      <c r="Q4" s="1184"/>
      <c r="R4" s="1184"/>
      <c r="S4" s="1184"/>
      <c r="T4" s="823"/>
      <c r="U4" s="252"/>
    </row>
    <row r="5" spans="1:21" ht="10.050000000000001" customHeight="1" x14ac:dyDescent="0.25">
      <c r="A5" s="178"/>
      <c r="B5" s="308"/>
      <c r="C5" s="321"/>
      <c r="D5" s="322"/>
      <c r="E5" s="322"/>
      <c r="F5" s="261"/>
      <c r="G5" s="261"/>
      <c r="H5" s="797"/>
      <c r="I5" s="262"/>
      <c r="J5" s="262"/>
      <c r="K5" s="148"/>
      <c r="L5" s="154"/>
      <c r="M5" s="252"/>
      <c r="N5" s="822"/>
      <c r="O5" s="1184"/>
      <c r="P5" s="1184"/>
      <c r="Q5" s="1184"/>
      <c r="R5" s="1184"/>
      <c r="S5" s="1184"/>
      <c r="T5" s="823"/>
      <c r="U5" s="252"/>
    </row>
    <row r="6" spans="1:21" ht="70.05" customHeight="1" x14ac:dyDescent="0.2">
      <c r="A6" s="178"/>
      <c r="B6" s="308"/>
      <c r="C6" s="1204" t="str">
        <f>IF(VLOOKUP(CONCATENATE(C3,"-0"),Languages!$A:$D,1,TRUE)=CONCATENATE(C3,"-0"),VLOOKUP(CONCATENATE(C3,"-0"),Languages!$A:$D,Summary!$C$7,TRUE),NA())</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D6" s="1204"/>
      <c r="E6" s="1204"/>
      <c r="F6" s="1204"/>
      <c r="G6" s="1204"/>
      <c r="H6" s="1204"/>
      <c r="I6" s="1204"/>
      <c r="J6" s="1204"/>
      <c r="K6" s="1204"/>
      <c r="L6" s="154"/>
      <c r="M6" s="252"/>
      <c r="N6" s="822"/>
      <c r="O6" s="1184"/>
      <c r="P6" s="1184"/>
      <c r="Q6" s="1184"/>
      <c r="R6" s="1184"/>
      <c r="S6" s="1184"/>
      <c r="T6" s="823"/>
      <c r="U6" s="252"/>
    </row>
    <row r="7" spans="1:21" ht="14.4" customHeight="1" x14ac:dyDescent="0.2">
      <c r="A7" s="178"/>
      <c r="B7" s="308"/>
      <c r="C7" s="264">
        <v>1</v>
      </c>
      <c r="D7" s="265" t="s">
        <v>1</v>
      </c>
      <c r="E7" s="266" t="str">
        <f>IF(VLOOKUP(CONCATENATE($C$3,"-",C7),Languages!$A:$D,1,TRUE)=CONCATENATE($C$3,"-",C7),VLOOKUP(CONCATENATE($C$3,"-",C7),Languages!$A:$D,Summary!$C$7,TRUE),NA())</f>
        <v>Kyberturvallisuusstrategia</v>
      </c>
      <c r="H7" s="267" t="str">
        <f ca="1">VLOOKUP(VLOOKUP(CONCATENATE($C$3,"-",$C7),Data!$K:$O,5,FALSE),Parameters!$C$7:$F$10,Summary!$C$7,FALSE)</f>
        <v>Kypsyystaso 0</v>
      </c>
      <c r="I7" s="465" t="str">
        <f>IF(VLOOKUP("KM110",Languages!$A:$D,1,TRUE)="KM110",VLOOKUP("KM110",Languages!$A:$D,Summary!$C$7,TRUE),NA())</f>
        <v>Päivämäärä</v>
      </c>
      <c r="J7" s="439"/>
      <c r="K7" s="148"/>
      <c r="L7" s="154"/>
      <c r="M7" s="252"/>
      <c r="N7" s="822"/>
      <c r="O7" s="1184"/>
      <c r="P7" s="1184"/>
      <c r="Q7" s="1184"/>
      <c r="R7" s="1184"/>
      <c r="S7" s="1184"/>
      <c r="T7" s="823"/>
      <c r="U7" s="252"/>
    </row>
    <row r="8" spans="1:21" ht="14.4" customHeight="1" x14ac:dyDescent="0.25">
      <c r="A8" s="178"/>
      <c r="B8" s="308"/>
      <c r="C8" s="264">
        <v>2</v>
      </c>
      <c r="D8" s="265" t="s">
        <v>1</v>
      </c>
      <c r="E8" s="266" t="str">
        <f>IF(VLOOKUP(CONCATENATE($C$3,"-",C8),Languages!$A:$D,1,TRUE)=CONCATENATE($C$3,"-",C8),VLOOKUP(CONCATENATE($C$3,"-",C8),Languages!$A:$D,Summary!$C$7,TRUE),NA())</f>
        <v>Johdon tuki kyberturvallisuusohjelmalle</v>
      </c>
      <c r="F8" s="324"/>
      <c r="H8" s="267" t="str">
        <f ca="1">VLOOKUP(VLOOKUP(CONCATENATE($C$3,"-",$C8),Data!$K:$O,5,FALSE),Parameters!$C$7:$F$10,Summary!$C$7,FALSE)</f>
        <v>Kypsyystaso 0</v>
      </c>
      <c r="I8" s="1213"/>
      <c r="J8" s="1206"/>
      <c r="K8" s="148"/>
      <c r="L8" s="154"/>
      <c r="M8" s="252"/>
      <c r="N8" s="822"/>
      <c r="O8" s="1184"/>
      <c r="P8" s="1184"/>
      <c r="Q8" s="1184"/>
      <c r="R8" s="1184"/>
      <c r="S8" s="1184"/>
      <c r="T8" s="823"/>
      <c r="U8" s="252"/>
    </row>
    <row r="9" spans="1:21" ht="14.4" customHeight="1" x14ac:dyDescent="0.2">
      <c r="A9" s="178"/>
      <c r="B9" s="308"/>
      <c r="C9" s="264">
        <v>3</v>
      </c>
      <c r="D9" s="265" t="s">
        <v>1</v>
      </c>
      <c r="E9" s="266" t="str">
        <f>IF(VLOOKUP(CONCATENATE($C$3,"-",C9),Languages!$A:$D,1,TRUE)=CONCATENATE($C$3,"-",C9),VLOOKUP(CONCATENATE($C$3,"-",C9),Languages!$A:$D,Summary!$C$7,TRUE),NA())</f>
        <v>Yleisiä hallintatoimia</v>
      </c>
      <c r="F9" s="325"/>
      <c r="H9" s="267" t="str">
        <f ca="1">VLOOKUP(VLOOKUP(CONCATENATE($C$3,"-",$C9),Data!$K:$O,5,FALSE),Parameters!$C$7:$F$10,Summary!$C$7,FALSE)</f>
        <v>Kypsyystaso 1</v>
      </c>
      <c r="I9" s="465" t="str">
        <f>IF(VLOOKUP("KM111",Languages!$A:$D,1,TRUE)="KM111",VLOOKUP("KM111",Languages!$A:$D,Summary!$C$7,TRUE),NA())</f>
        <v>Osallistujat</v>
      </c>
      <c r="J9" s="439"/>
      <c r="K9" s="148"/>
      <c r="L9" s="154"/>
      <c r="M9" s="252"/>
      <c r="N9" s="822"/>
      <c r="O9" s="1184"/>
      <c r="P9" s="1184"/>
      <c r="Q9" s="1184"/>
      <c r="R9" s="1184"/>
      <c r="S9" s="1184"/>
      <c r="T9" s="823"/>
      <c r="U9" s="252"/>
    </row>
    <row r="10" spans="1:21" ht="14.4" customHeight="1" x14ac:dyDescent="0.2">
      <c r="A10" s="178"/>
      <c r="B10" s="308"/>
      <c r="C10" s="264"/>
      <c r="D10" s="265"/>
      <c r="E10" s="266"/>
      <c r="F10" s="325"/>
      <c r="H10" s="267"/>
      <c r="I10" s="1194"/>
      <c r="J10" s="1195"/>
      <c r="K10" s="148"/>
      <c r="L10" s="154"/>
      <c r="M10" s="252"/>
      <c r="N10" s="822"/>
      <c r="O10" s="1184"/>
      <c r="P10" s="1184"/>
      <c r="Q10" s="1184"/>
      <c r="R10" s="1184"/>
      <c r="S10" s="1184"/>
      <c r="T10" s="823"/>
      <c r="U10" s="252"/>
    </row>
    <row r="11" spans="1:21" ht="14.4" customHeight="1" x14ac:dyDescent="0.2">
      <c r="A11" s="178"/>
      <c r="B11" s="308"/>
      <c r="C11" s="264"/>
      <c r="D11" s="265"/>
      <c r="E11" s="266"/>
      <c r="F11" s="325"/>
      <c r="H11" s="267"/>
      <c r="I11" s="1196"/>
      <c r="J11" s="1197"/>
      <c r="K11" s="148"/>
      <c r="L11" s="154"/>
      <c r="M11" s="252"/>
      <c r="N11" s="822"/>
      <c r="O11" s="1184"/>
      <c r="P11" s="1184"/>
      <c r="Q11" s="1184"/>
      <c r="R11" s="1184"/>
      <c r="S11" s="1184"/>
      <c r="T11" s="823"/>
      <c r="U11" s="252"/>
    </row>
    <row r="12" spans="1:21" s="177" customFormat="1" ht="30" customHeight="1" x14ac:dyDescent="0.25">
      <c r="A12" s="166"/>
      <c r="B12" s="269"/>
      <c r="C12" s="170">
        <v>1</v>
      </c>
      <c r="D12" s="170" t="str">
        <f>IF(VLOOKUP(CONCATENATE($C$3,"-",C12),Languages!$A:$D,1,TRUE)=CONCATENATE($C$3,"-",C12),VLOOKUP(CONCATENATE($C$3,"-",C12),Languages!$A:$D,Summary!$C$7,TRUE),NA())</f>
        <v>Kyberturvallisuusstrategia</v>
      </c>
      <c r="E12" s="170"/>
      <c r="F12" s="271"/>
      <c r="G12" s="271"/>
      <c r="H12" s="271"/>
      <c r="I12" s="271"/>
      <c r="J12" s="271"/>
      <c r="K12" s="271"/>
      <c r="L12" s="154"/>
      <c r="M12" s="252"/>
      <c r="N12" s="822"/>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23"/>
      <c r="U12" s="252"/>
    </row>
    <row r="13" spans="1:21" s="278" customFormat="1" ht="63" customHeight="1" x14ac:dyDescent="0.2">
      <c r="A13" s="275"/>
      <c r="B13" s="276"/>
      <c r="C13" s="1216" t="str">
        <f>IF(VLOOKUP(CONCATENATE($C$3,"-",$C12,"-0"),Languages!$A:$D,1,TRUE)=CONCATENATE($C$3,"-",$C12,"-0"),VLOOKUP(CONCATENATE($C$3,"-",$C12,"-0"),Languages!$A:$D,Summary!$C$7,TRUE),NA())</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D13" s="1216"/>
      <c r="E13" s="1216"/>
      <c r="F13" s="1216"/>
      <c r="G13" s="1216"/>
      <c r="H13" s="1216"/>
      <c r="I13" s="1216"/>
      <c r="J13" s="1216"/>
      <c r="K13" s="1216"/>
      <c r="L13" s="154"/>
      <c r="M13" s="252"/>
      <c r="N13" s="822"/>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23"/>
      <c r="U13" s="252"/>
    </row>
    <row r="14" spans="1:21" s="177" customFormat="1" ht="30" customHeight="1" thickBot="1" x14ac:dyDescent="0.3">
      <c r="A14" s="166"/>
      <c r="B14" s="269"/>
      <c r="C14" s="344">
        <v>2</v>
      </c>
      <c r="D14" s="344" t="str">
        <f>IF(VLOOKUP(CONCATENATE($C$3,"-",C14),Languages!$A:$D,1,TRUE)=CONCATENATE($C$3,"-",C14),VLOOKUP(CONCATENATE($C$3,"-",C14),Languages!$A:$D,Summary!$C$7,TRUE),NA())</f>
        <v>Johdon tuki kyberturvallisuusohjelmalle</v>
      </c>
      <c r="E14" s="344"/>
      <c r="F14" s="345"/>
      <c r="G14" s="345" t="s">
        <v>16</v>
      </c>
      <c r="H14" s="345"/>
      <c r="I14" s="345"/>
      <c r="J14" s="345"/>
      <c r="K14" s="345"/>
      <c r="L14" s="154"/>
      <c r="M14" s="252"/>
      <c r="N14" s="822"/>
      <c r="O14" s="1203"/>
      <c r="P14" s="1185"/>
      <c r="Q14" s="1185"/>
      <c r="R14" s="1185"/>
      <c r="S14" s="1185"/>
      <c r="T14" s="823"/>
      <c r="U14" s="252"/>
    </row>
    <row r="15" spans="1:21" s="278" customFormat="1" ht="45" customHeight="1" x14ac:dyDescent="0.2">
      <c r="A15" s="275"/>
      <c r="B15" s="276"/>
      <c r="C15" s="1247" t="str">
        <f>IF(VLOOKUP(CONCATENATE($C$3,"-",$C14,"-0"),Languages!$A:$D,1,TRUE)=CONCATENATE($C$3,"-",$C14,"-0"),VLOOKUP(CONCATENATE($C$3,"-",$C14,"-0"),Languages!$A:$D,Summary!$C$7,TRUE),NA())</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D15" s="1247"/>
      <c r="E15" s="1247"/>
      <c r="F15" s="1247"/>
      <c r="G15" s="1247"/>
      <c r="H15" s="1247"/>
      <c r="I15" s="1247"/>
      <c r="J15" s="1247"/>
      <c r="K15" s="1247"/>
      <c r="L15" s="154"/>
      <c r="M15" s="252"/>
      <c r="N15" s="822"/>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23"/>
      <c r="U15" s="252"/>
    </row>
    <row r="16" spans="1:21" s="177" customFormat="1" ht="30" customHeight="1" x14ac:dyDescent="0.25">
      <c r="A16" s="166"/>
      <c r="B16" s="269"/>
      <c r="C16" s="170">
        <v>3</v>
      </c>
      <c r="D16" s="170" t="str">
        <f>IF(VLOOKUP(CONCATENATE($C$3,"-",C16),Languages!$A:$D,1,TRUE)=CONCATENATE($C$3,"-",C16),VLOOKUP(CONCATENATE($C$3,"-",C16),Languages!$A:$D,Summary!$C$7,TRUE),NA())</f>
        <v>Yleisiä hallintatoimia</v>
      </c>
      <c r="E16" s="170"/>
      <c r="F16" s="292"/>
      <c r="G16" s="292" t="s">
        <v>16</v>
      </c>
      <c r="H16" s="292"/>
      <c r="I16" s="292"/>
      <c r="J16" s="292"/>
      <c r="K16" s="292"/>
      <c r="L16" s="154"/>
      <c r="M16" s="252"/>
      <c r="N16" s="822"/>
      <c r="O16" s="1203"/>
      <c r="P16" s="1185"/>
      <c r="Q16" s="1185"/>
      <c r="R16" s="1185"/>
      <c r="S16" s="1185"/>
      <c r="T16" s="823"/>
      <c r="U16" s="252"/>
    </row>
    <row r="17" spans="1:21" s="278" customFormat="1" ht="52.8" customHeight="1" x14ac:dyDescent="0.2">
      <c r="A17" s="305"/>
      <c r="B17" s="306"/>
      <c r="C17" s="1216"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16"/>
      <c r="E17" s="1216"/>
      <c r="F17" s="1216"/>
      <c r="G17" s="1216"/>
      <c r="H17" s="1216"/>
      <c r="I17" s="1216"/>
      <c r="J17" s="1216"/>
      <c r="K17" s="1216"/>
      <c r="L17" s="154"/>
      <c r="M17" s="252"/>
      <c r="N17" s="822"/>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23"/>
      <c r="U17" s="252"/>
    </row>
    <row r="18" spans="1:21" s="278" customFormat="1" ht="20.399999999999999" customHeight="1" x14ac:dyDescent="0.2">
      <c r="A18" s="305"/>
      <c r="B18" s="306"/>
      <c r="C18" s="1116"/>
      <c r="D18" s="1116"/>
      <c r="E18" s="1116"/>
      <c r="F18" s="1116"/>
      <c r="G18" s="1116"/>
      <c r="H18" s="1116"/>
      <c r="I18" s="1116"/>
      <c r="J18" s="1116"/>
      <c r="K18" s="1116"/>
      <c r="L18" s="154"/>
      <c r="M18" s="252"/>
      <c r="N18" s="1124"/>
      <c r="O18" s="1203"/>
      <c r="P18" s="1185"/>
      <c r="Q18" s="1185"/>
      <c r="R18" s="1185"/>
      <c r="S18" s="1185"/>
      <c r="T18" s="1124"/>
      <c r="U18" s="252"/>
    </row>
    <row r="19" spans="1:21" s="278" customFormat="1" ht="20.399999999999999" customHeight="1" x14ac:dyDescent="0.2">
      <c r="A19" s="305"/>
      <c r="B19" s="1121"/>
      <c r="C19" s="1122"/>
      <c r="D19" s="1122"/>
      <c r="E19" s="1122"/>
      <c r="F19" s="1122"/>
      <c r="G19" s="1122"/>
      <c r="H19" s="1122"/>
      <c r="I19" s="1122"/>
      <c r="J19" s="1122"/>
      <c r="K19" s="1122"/>
      <c r="L19" s="1123"/>
      <c r="M19" s="252"/>
      <c r="N19" s="824"/>
      <c r="O19" s="1114"/>
      <c r="P19" s="1114"/>
      <c r="Q19" s="1114"/>
      <c r="R19" s="1114"/>
      <c r="S19" s="1114"/>
      <c r="T19" s="825"/>
      <c r="U19" s="252"/>
    </row>
    <row r="20" spans="1:21" s="278" customFormat="1" ht="18" customHeight="1" x14ac:dyDescent="0.25">
      <c r="A20" s="305"/>
      <c r="B20" s="655"/>
      <c r="C20" s="655"/>
      <c r="D20" s="655"/>
      <c r="E20" s="655"/>
      <c r="F20" s="655"/>
      <c r="G20" s="655"/>
      <c r="H20" s="655"/>
      <c r="I20" s="655"/>
      <c r="J20" s="655"/>
      <c r="K20" s="655"/>
      <c r="L20" s="656"/>
      <c r="M20" s="135"/>
      <c r="N20" s="135"/>
      <c r="O20" s="251"/>
      <c r="P20" s="250"/>
      <c r="Q20" s="771"/>
      <c r="R20" s="250"/>
      <c r="S20" s="250"/>
      <c r="T20" s="135"/>
      <c r="U20" s="135"/>
    </row>
    <row r="21" spans="1:21" s="278" customFormat="1" ht="19.95" customHeight="1" x14ac:dyDescent="0.2">
      <c r="A21" s="305"/>
      <c r="B21" s="649"/>
      <c r="C21" s="647"/>
      <c r="D21" s="647"/>
      <c r="E21" s="647"/>
      <c r="F21" s="647"/>
      <c r="G21" s="647"/>
      <c r="H21" s="647"/>
      <c r="I21" s="647"/>
      <c r="J21" s="647"/>
      <c r="K21" s="647"/>
      <c r="L21" s="648"/>
      <c r="M21" s="252"/>
      <c r="N21" s="464" t="str">
        <f>IF(VLOOKUP("KM116",Languages!$A:$D,1,TRUE)="KM116",VLOOKUP("KM116",Languages!$A:$D,Summary!$C$7,TRUE),NA())</f>
        <v>EDELLINEN ARVIOINTI</v>
      </c>
      <c r="O21" s="430"/>
      <c r="P21" s="255"/>
      <c r="Q21" s="772" t="str">
        <f>IF(VLOOKUP("KM110",Languages!$A:$D,1,TRUE)="KM110",VLOOKUP("KM110",Languages!$A:$D,Summary!$C$7,TRUE),NA())</f>
        <v>Päivämäärä</v>
      </c>
      <c r="R21" s="255"/>
      <c r="S21" s="255"/>
      <c r="T21" s="147"/>
      <c r="U21" s="252"/>
    </row>
    <row r="22" spans="1:21" s="177" customFormat="1" ht="19.95" customHeight="1" x14ac:dyDescent="0.25">
      <c r="A22" s="166"/>
      <c r="B22" s="269"/>
      <c r="C22" s="170">
        <v>1</v>
      </c>
      <c r="D22" s="170" t="str">
        <f>IF(VLOOKUP(CONCATENATE($C$3,"-",C22),Languages!$A:$D,1,TRUE)=CONCATENATE($C$3,"-",C22),VLOOKUP(CONCATENATE($C$3,"-",C22),Languages!$A:$D,Summary!$C$7,TRUE),NA())</f>
        <v>Kyberturvallisuusstrategia</v>
      </c>
      <c r="E22" s="170"/>
      <c r="F22" s="271"/>
      <c r="G22" s="271"/>
      <c r="H22" s="271"/>
      <c r="I22" s="271"/>
      <c r="J22" s="271"/>
      <c r="K22" s="271"/>
      <c r="L22" s="154"/>
      <c r="M22" s="305"/>
      <c r="N22" s="306"/>
      <c r="O22" s="431"/>
      <c r="P22" s="426"/>
      <c r="Q22" s="885"/>
      <c r="R22" s="858"/>
      <c r="S22" s="858"/>
      <c r="T22" s="277"/>
      <c r="U22" s="305"/>
    </row>
    <row r="23" spans="1:21" s="285" customFormat="1" ht="19.95" customHeight="1" x14ac:dyDescent="0.2">
      <c r="A23" s="304"/>
      <c r="B23" s="279"/>
      <c r="C23" s="280" t="str">
        <f>IF(VLOOKUP("GEN-LEVEL",Languages!$A:$D,1,TRUE)="GEN-LEVEL",VLOOKUP("GEN-LEVEL",Languages!$A:$D,Summary!$C$7,TRUE),NA())</f>
        <v>Taso</v>
      </c>
      <c r="D23" s="280"/>
      <c r="E23" s="281" t="str">
        <f>IF(VLOOKUP("GEN-PRACTICE",Languages!$A:$D,1,TRUE)="GEN-PRACTICE",VLOOKUP("GEN-PRACTICE",Languages!$A:$D,Summary!$C$7,TRUE),NA())</f>
        <v>Käytäntö</v>
      </c>
      <c r="F23" s="282"/>
      <c r="G23" s="904" t="str">
        <f>IF(VLOOKUP("GEN-ANSWER",Languages!$A:$D,1,TRUE)="GEN-ANSWER",VLOOKUP("GEN-ANSWER",Languages!$A:$D,Summary!$C$7,TRUE),NA())</f>
        <v>Vastaus</v>
      </c>
      <c r="H23" s="905" t="str">
        <f>IF(VLOOKUP("KM112",Languages!$A:$D,1,TRUE)="KM112",VLOOKUP("KM112",Languages!$A:$D,Summary!$C$7,TRUE),NA())</f>
        <v>Kommentit</v>
      </c>
      <c r="I23" s="905" t="str">
        <f>IF(VLOOKUP("KM113",Languages!$A:$D,1,TRUE)="KM113",VLOOKUP("KM113",Languages!$A:$D,Summary!$C$7,TRUE),NA())</f>
        <v>Sisäinen viittaus</v>
      </c>
      <c r="J23" s="905" t="str">
        <f>IF(VLOOKUP("KM114",Languages!$A:$D,1,TRUE)="KM114",VLOOKUP("KM114",Languages!$A:$D,Summary!$C$7,TRUE),NA())</f>
        <v>Ulkoinen viittaus</v>
      </c>
      <c r="K23" s="905" t="str">
        <f>IF(VLOOKUP("KM115",Languages!$A:$D,1,TRUE)="KM115",VLOOKUP("KM115",Languages!$A:$D,Summary!$C$7,TRUE),NA())</f>
        <v>Kehityskohde</v>
      </c>
      <c r="L23" s="283"/>
      <c r="M23" s="284"/>
      <c r="N23" s="279"/>
      <c r="O23" s="463" t="str">
        <f>IF(VLOOKUP("GEN-ANSWER",Languages!$A:$D,1,TRUE)="GEN-ANSWER",VLOOKUP("GEN-ANSWER",Languages!$A:$D,Summary!$C$7,TRUE),NA())</f>
        <v>Vastaus</v>
      </c>
      <c r="P23" s="463" t="str">
        <f>IF(VLOOKUP("KM112",Languages!$A:$D,1,TRUE)="KM112",VLOOKUP("KM112",Languages!$A:$D,Summary!$C$7,TRUE),NA())</f>
        <v>Kommentit</v>
      </c>
      <c r="Q23" s="463" t="str">
        <f>IF(VLOOKUP("KM113",Languages!$A:$D,1,TRUE)="KM113",VLOOKUP("KM113",Languages!$A:$D,Summary!$C$7,TRUE),NA())</f>
        <v>Sisäinen viittaus</v>
      </c>
      <c r="R23" s="463" t="str">
        <f>IF(VLOOKUP("KM114",Languages!$A:$D,1,TRUE)="KM114",VLOOKUP("KM114",Languages!$A:$D,Summary!$C$7,TRUE),NA())</f>
        <v>Ulkoinen viittaus</v>
      </c>
      <c r="S23" s="463" t="str">
        <f>IF(VLOOKUP("KM115",Languages!$A:$D,1,TRUE)="KM115",VLOOKUP("KM115",Languages!$A:$D,Summary!$C$7,TRUE),NA())</f>
        <v>Kehityskohde</v>
      </c>
      <c r="T23" s="283"/>
      <c r="U23" s="284"/>
    </row>
    <row r="24" spans="1:21" s="289" customFormat="1" ht="40.799999999999997" customHeight="1" x14ac:dyDescent="0.2">
      <c r="A24" s="275"/>
      <c r="B24" s="1190"/>
      <c r="C24" s="521">
        <v>1</v>
      </c>
      <c r="D24" s="390" t="s">
        <v>5</v>
      </c>
      <c r="E24" s="466" t="str">
        <f>IF(VLOOKUP(CONCATENATE($C$3,"-",$D24),Languages!$A:$D,1,TRUE)=CONCATENATE($C$3,"-",$D24),VLOOKUP(CONCATENATE($C$3,"-",$D24),Languages!$A:$D,Summary!$C$7,TRUE),NA())</f>
        <v>Organisaatiolla on kyberturvallisuusstrategia. Tasolla 1 sen kehittämisen ja ylläpidon ei tarvitse olla systemaattista ja säännöllistä.</v>
      </c>
      <c r="F24" s="391">
        <f t="shared" ref="F24:F31" si="0">IFERROR(INT(LEFT($G24,1)),0)</f>
        <v>0</v>
      </c>
      <c r="G24" s="456" t="s">
        <v>2542</v>
      </c>
      <c r="H24" s="503"/>
      <c r="I24" s="503"/>
      <c r="J24" s="503"/>
      <c r="K24" s="504"/>
      <c r="L24" s="154"/>
      <c r="M24" s="252"/>
      <c r="N24" s="149"/>
      <c r="O24" s="886" t="str">
        <f>VLOOKUP(VLOOKUP($C$3&amp;"-"&amp;$D24,Import!$C:$D,2,FALSE),Parameters!$C$18:$F$22,Summary!$C$7,FALSE)</f>
        <v xml:space="preserve">0 - Vastaus puuttuu </v>
      </c>
      <c r="P24" s="887" t="str">
        <f>IF(VLOOKUP($C$3&amp;"-"&amp;$D24,Import!$C:$H,3,FALSE)=0,"",VLOOKUP($C$3&amp;"-"&amp;$D24,Import!$C:$H,3,FALSE))</f>
        <v/>
      </c>
      <c r="Q24" s="887" t="str">
        <f>IF(VLOOKUP($C$3&amp;"-"&amp;$D24,Import!$C:$H,4,FALSE)=0,"",VLOOKUP($C$3&amp;"-"&amp;$D24,Import!$C:$H,4,FALSE))</f>
        <v/>
      </c>
      <c r="R24" s="887" t="str">
        <f>IF(VLOOKUP($C$3&amp;"-"&amp;$D24,Import!$C:$H,5,FALSE)=0,"",VLOOKUP($C$3&amp;"-"&amp;$D24,Import!$C:$H,5,FALSE))</f>
        <v/>
      </c>
      <c r="S24" s="888" t="str">
        <f>IF(VLOOKUP($C$3&amp;"-"&amp;$D24,Import!$C:$H,6,FALSE)=0,"",VLOOKUP($C$3&amp;"-"&amp;$D24,Import!$C:$H,6,FALSE))</f>
        <v/>
      </c>
      <c r="T24" s="154"/>
      <c r="U24" s="252"/>
    </row>
    <row r="25" spans="1:21" s="289" customFormat="1" ht="34.950000000000003" customHeight="1" x14ac:dyDescent="0.2">
      <c r="A25" s="275"/>
      <c r="B25" s="1190"/>
      <c r="C25" s="1217">
        <v>2</v>
      </c>
      <c r="D25" s="387" t="s">
        <v>7</v>
      </c>
      <c r="E25" s="467" t="str">
        <f>IF(VLOOKUP(CONCATENATE($C$3,"-",$D25),Languages!$A:$D,1,TRUE)=CONCATENATE($C$3,"-",$D25),VLOOKUP(CONCATENATE($C$3,"-",$D25),Languages!$A:$D,Summary!$C$7,TRUE),NA())</f>
        <v>Kyberturvallisuusstrategia määrittelee organisaation kyberturvallisuustavoitteet.</v>
      </c>
      <c r="F25" s="386">
        <f t="shared" si="0"/>
        <v>0</v>
      </c>
      <c r="G25" s="445" t="s">
        <v>2542</v>
      </c>
      <c r="H25" s="505"/>
      <c r="I25" s="505"/>
      <c r="J25" s="505"/>
      <c r="K25" s="506"/>
      <c r="L25" s="154"/>
      <c r="M25" s="252"/>
      <c r="N25" s="149"/>
      <c r="O25" s="889" t="str">
        <f>VLOOKUP(VLOOKUP($C$3&amp;"-"&amp;$D25,Import!$C:$D,2,FALSE),Parameters!$C$18:$F$22,Summary!$C$7,FALSE)</f>
        <v xml:space="preserve">0 - Vastaus puuttuu </v>
      </c>
      <c r="P25" s="890" t="str">
        <f>IF(VLOOKUP($C$3&amp;"-"&amp;$D25,Import!$C:$H,3,FALSE)=0,"",VLOOKUP($C$3&amp;"-"&amp;$D25,Import!$C:$H,3,FALSE))</f>
        <v/>
      </c>
      <c r="Q25" s="890" t="str">
        <f>IF(VLOOKUP($C$3&amp;"-"&amp;$D25,Import!$C:$H,4,FALSE)=0,"",VLOOKUP($C$3&amp;"-"&amp;$D25,Import!$C:$H,4,FALSE))</f>
        <v/>
      </c>
      <c r="R25" s="890" t="str">
        <f>IF(VLOOKUP($C$3&amp;"-"&amp;$D25,Import!$C:$H,5,FALSE)=0,"",VLOOKUP($C$3&amp;"-"&amp;$D25,Import!$C:$H,5,FALSE))</f>
        <v/>
      </c>
      <c r="S25" s="891" t="str">
        <f>IF(VLOOKUP($C$3&amp;"-"&amp;$D25,Import!$C:$H,6,FALSE)=0,"",VLOOKUP($C$3&amp;"-"&amp;$D25,Import!$C:$H,6,FALSE))</f>
        <v/>
      </c>
      <c r="T25" s="154"/>
      <c r="U25" s="252"/>
    </row>
    <row r="26" spans="1:21" s="289" customFormat="1" ht="57" customHeight="1" x14ac:dyDescent="0.2">
      <c r="A26" s="275"/>
      <c r="B26" s="1190"/>
      <c r="C26" s="1218"/>
      <c r="D26" s="286" t="s">
        <v>8</v>
      </c>
      <c r="E26" s="468" t="str">
        <f>IF(VLOOKUP(CONCATENATE($C$3,"-",$D26),Languages!$A:$D,1,TRUE)=CONCATENATE($C$3,"-",$D26),VLOOKUP(CONCATENATE($C$3,"-",$D26),Languages!$A:$D,Summary!$C$7,TRUE),NA())</f>
        <v>Kyberturvallisuusstrategia ja -prioriteetit on dokumentoitu. Strategia ja prioriteetit ovat linjassa organisaation yleisten strategisten tavoitteiden ja kriittiseen infrastruktuuriin kohdistuvien riskien kanssa.</v>
      </c>
      <c r="F26" s="287">
        <f t="shared" si="0"/>
        <v>0</v>
      </c>
      <c r="G26" s="307" t="s">
        <v>2542</v>
      </c>
      <c r="H26" s="507"/>
      <c r="I26" s="507"/>
      <c r="J26" s="507"/>
      <c r="K26" s="508"/>
      <c r="L26" s="154"/>
      <c r="M26" s="252"/>
      <c r="N26" s="149"/>
      <c r="O26" s="892" t="str">
        <f>VLOOKUP(VLOOKUP($C$3&amp;"-"&amp;$D26,Import!$C:$D,2,FALSE),Parameters!$C$18:$F$22,Summary!$C$7,FALSE)</f>
        <v xml:space="preserve">0 - Vastaus puuttuu </v>
      </c>
      <c r="P26" s="893" t="str">
        <f>IF(VLOOKUP($C$3&amp;"-"&amp;$D26,Import!$C:$H,3,FALSE)=0,"",VLOOKUP($C$3&amp;"-"&amp;$D26,Import!$C:$H,3,FALSE))</f>
        <v/>
      </c>
      <c r="Q26" s="893" t="str">
        <f>IF(VLOOKUP($C$3&amp;"-"&amp;$D26,Import!$C:$H,4,FALSE)=0,"",VLOOKUP($C$3&amp;"-"&amp;$D26,Import!$C:$H,4,FALSE))</f>
        <v/>
      </c>
      <c r="R26" s="893" t="str">
        <f>IF(VLOOKUP($C$3&amp;"-"&amp;$D26,Import!$C:$H,5,FALSE)=0,"",VLOOKUP($C$3&amp;"-"&amp;$D26,Import!$C:$H,5,FALSE))</f>
        <v/>
      </c>
      <c r="S26" s="894" t="str">
        <f>IF(VLOOKUP($C$3&amp;"-"&amp;$D26,Import!$C:$H,6,FALSE)=0,"",VLOOKUP($C$3&amp;"-"&amp;$D26,Import!$C:$H,6,FALSE))</f>
        <v/>
      </c>
      <c r="T26" s="154"/>
      <c r="U26" s="252"/>
    </row>
    <row r="27" spans="1:21" s="289" customFormat="1" ht="42" customHeight="1" x14ac:dyDescent="0.2">
      <c r="A27" s="275"/>
      <c r="B27" s="1190"/>
      <c r="C27" s="1218"/>
      <c r="D27" s="286" t="s">
        <v>9</v>
      </c>
      <c r="E27" s="469" t="str">
        <f>IF(VLOOKUP(CONCATENATE($C$3,"-",$D27),Languages!$A:$D,1,TRUE)=CONCATENATE($C$3,"-",$D27),VLOOKUP(CONCATENATE($C$3,"-",$D27),Languages!$A:$D,Summary!$C$7,TRUE),NA())</f>
        <v>Kyberturvallisuusstrategia määrittää organisaation kyberturvallisuuden hallintamallin ("governance") ja valvontatoimet.</v>
      </c>
      <c r="F27" s="287">
        <f t="shared" si="0"/>
        <v>0</v>
      </c>
      <c r="G27" s="307" t="s">
        <v>2542</v>
      </c>
      <c r="H27" s="507"/>
      <c r="I27" s="507"/>
      <c r="J27" s="507"/>
      <c r="K27" s="508"/>
      <c r="L27" s="154"/>
      <c r="M27" s="252"/>
      <c r="N27" s="149"/>
      <c r="O27" s="892" t="str">
        <f>VLOOKUP(VLOOKUP($C$3&amp;"-"&amp;$D27,Import!$C:$D,2,FALSE),Parameters!$C$18:$F$22,Summary!$C$7,FALSE)</f>
        <v xml:space="preserve">0 - Vastaus puuttuu </v>
      </c>
      <c r="P27" s="893" t="str">
        <f>IF(VLOOKUP($C$3&amp;"-"&amp;$D27,Import!$C:$H,3,FALSE)=0,"",VLOOKUP($C$3&amp;"-"&amp;$D27,Import!$C:$H,3,FALSE))</f>
        <v/>
      </c>
      <c r="Q27" s="893" t="str">
        <f>IF(VLOOKUP($C$3&amp;"-"&amp;$D27,Import!$C:$H,4,FALSE)=0,"",VLOOKUP($C$3&amp;"-"&amp;$D27,Import!$C:$H,4,FALSE))</f>
        <v/>
      </c>
      <c r="R27" s="893" t="str">
        <f>IF(VLOOKUP($C$3&amp;"-"&amp;$D27,Import!$C:$H,5,FALSE)=0,"",VLOOKUP($C$3&amp;"-"&amp;$D27,Import!$C:$H,5,FALSE))</f>
        <v/>
      </c>
      <c r="S27" s="894" t="str">
        <f>IF(VLOOKUP($C$3&amp;"-"&amp;$D27,Import!$C:$H,6,FALSE)=0,"",VLOOKUP($C$3&amp;"-"&amp;$D27,Import!$C:$H,6,FALSE))</f>
        <v/>
      </c>
      <c r="T27" s="154"/>
      <c r="U27" s="252"/>
    </row>
    <row r="28" spans="1:21" s="289" customFormat="1" ht="34.950000000000003" customHeight="1" x14ac:dyDescent="0.2">
      <c r="A28" s="275"/>
      <c r="B28" s="1190"/>
      <c r="C28" s="1218"/>
      <c r="D28" s="290" t="s">
        <v>10</v>
      </c>
      <c r="E28" s="469" t="str">
        <f>IF(VLOOKUP(CONCATENATE($C$3,"-",$D28),Languages!$A:$D,1,TRUE)=CONCATENATE($C$3,"-",$D28),VLOOKUP(CONCATENATE($C$3,"-",$D28),Languages!$A:$D,Summary!$C$7,TRUE),NA())</f>
        <v>Kyberturvallisuusstrategia määrittelee kyberturvallisuuden hallinta- ja organisaatiorakenteen.</v>
      </c>
      <c r="F28" s="287">
        <f t="shared" si="0"/>
        <v>0</v>
      </c>
      <c r="G28" s="307" t="s">
        <v>2542</v>
      </c>
      <c r="H28" s="509"/>
      <c r="I28" s="509"/>
      <c r="J28" s="509"/>
      <c r="K28" s="510"/>
      <c r="L28" s="154"/>
      <c r="M28" s="252"/>
      <c r="N28" s="149"/>
      <c r="O28" s="892" t="str">
        <f>VLOOKUP(VLOOKUP($C$3&amp;"-"&amp;$D28,Import!$C:$D,2,FALSE),Parameters!$C$18:$F$22,Summary!$C$7,FALSE)</f>
        <v xml:space="preserve">0 - Vastaus puuttuu </v>
      </c>
      <c r="P28" s="895" t="str">
        <f>IF(VLOOKUP($C$3&amp;"-"&amp;$D28,Import!$C:$H,3,FALSE)=0,"",VLOOKUP($C$3&amp;"-"&amp;$D28,Import!$C:$H,3,FALSE))</f>
        <v/>
      </c>
      <c r="Q28" s="895" t="str">
        <f>IF(VLOOKUP($C$3&amp;"-"&amp;$D28,Import!$C:$H,4,FALSE)=0,"",VLOOKUP($C$3&amp;"-"&amp;$D28,Import!$C:$H,4,FALSE))</f>
        <v/>
      </c>
      <c r="R28" s="895" t="str">
        <f>IF(VLOOKUP($C$3&amp;"-"&amp;$D28,Import!$C:$H,5,FALSE)=0,"",VLOOKUP($C$3&amp;"-"&amp;$D28,Import!$C:$H,5,FALSE))</f>
        <v/>
      </c>
      <c r="S28" s="896" t="str">
        <f>IF(VLOOKUP($C$3&amp;"-"&amp;$D28,Import!$C:$H,6,FALSE)=0,"",VLOOKUP($C$3&amp;"-"&amp;$D28,Import!$C:$H,6,FALSE))</f>
        <v/>
      </c>
      <c r="T28" s="154"/>
      <c r="U28" s="252"/>
    </row>
    <row r="29" spans="1:21" s="289" customFormat="1" ht="34.950000000000003" customHeight="1" x14ac:dyDescent="0.2">
      <c r="A29" s="275"/>
      <c r="B29" s="1190"/>
      <c r="C29" s="1218"/>
      <c r="D29" s="290" t="s">
        <v>11</v>
      </c>
      <c r="E29" s="469" t="str">
        <f>IF(VLOOKUP(CONCATENATE($C$3,"-",$D29),Languages!$A:$D,1,TRUE)=CONCATENATE($C$3,"-",$D29),VLOOKUP(CONCATENATE($C$3,"-",$D29),Languages!$A:$D,Summary!$C$7,TRUE),NA())</f>
        <v>Kyberturvallisuusstrategia nimeää ne standardit ja ohjeet, joita tulee noudattaa.</v>
      </c>
      <c r="F29" s="287">
        <f t="shared" si="0"/>
        <v>0</v>
      </c>
      <c r="G29" s="307" t="s">
        <v>2542</v>
      </c>
      <c r="H29" s="509"/>
      <c r="I29" s="509"/>
      <c r="J29" s="509"/>
      <c r="K29" s="510"/>
      <c r="L29" s="154"/>
      <c r="M29" s="252"/>
      <c r="N29" s="149"/>
      <c r="O29" s="892" t="str">
        <f>VLOOKUP(VLOOKUP($C$3&amp;"-"&amp;$D29,Import!$C:$D,2,FALSE),Parameters!$C$18:$F$22,Summary!$C$7,FALSE)</f>
        <v xml:space="preserve">0 - Vastaus puuttuu </v>
      </c>
      <c r="P29" s="895" t="str">
        <f>IF(VLOOKUP($C$3&amp;"-"&amp;$D29,Import!$C:$H,3,FALSE)=0,"",VLOOKUP($C$3&amp;"-"&amp;$D29,Import!$C:$H,3,FALSE))</f>
        <v/>
      </c>
      <c r="Q29" s="895" t="str">
        <f>IF(VLOOKUP($C$3&amp;"-"&amp;$D29,Import!$C:$H,4,FALSE)=0,"",VLOOKUP($C$3&amp;"-"&amp;$D29,Import!$C:$H,4,FALSE))</f>
        <v/>
      </c>
      <c r="R29" s="895" t="str">
        <f>IF(VLOOKUP($C$3&amp;"-"&amp;$D29,Import!$C:$H,5,FALSE)=0,"",VLOOKUP($C$3&amp;"-"&amp;$D29,Import!$C:$H,5,FALSE))</f>
        <v/>
      </c>
      <c r="S29" s="896" t="str">
        <f>IF(VLOOKUP($C$3&amp;"-"&amp;$D29,Import!$C:$H,6,FALSE)=0,"",VLOOKUP($C$3&amp;"-"&amp;$D29,Import!$C:$H,6,FALSE))</f>
        <v/>
      </c>
      <c r="T29" s="154"/>
      <c r="U29" s="252"/>
    </row>
    <row r="30" spans="1:21" s="289" customFormat="1" ht="70.5" customHeight="1" x14ac:dyDescent="0.2">
      <c r="A30" s="275"/>
      <c r="B30" s="327"/>
      <c r="C30" s="1219"/>
      <c r="D30" s="392" t="s">
        <v>12</v>
      </c>
      <c r="E30" s="472" t="str">
        <f>IF(VLOOKUP(CONCATENATE($C$3,"-",$D30),Languages!$A:$D,1,TRUE)=CONCATENATE($C$3,"-",$D30),VLOOKUP(CONCATENATE($C$3,"-",$D30),Languages!$A:$D,Summary!$C$7,TRUE),NA())</f>
        <v>Kyberturvallisuusstrategia nimeää / tunnistaa  kaikki soveltuvat vaatimustenmukaisuusvaatimukset, jotka ohjelman pitää noudattaa. (esimerkiksi NIST CSF, ISO, PCI DSS) (toimeenpano-ohjelma vai strategia)</v>
      </c>
      <c r="F30" s="393">
        <f t="shared" si="0"/>
        <v>0</v>
      </c>
      <c r="G30" s="449" t="s">
        <v>2542</v>
      </c>
      <c r="H30" s="511"/>
      <c r="I30" s="511"/>
      <c r="J30" s="511"/>
      <c r="K30" s="512"/>
      <c r="L30" s="154"/>
      <c r="M30" s="252"/>
      <c r="N30" s="149"/>
      <c r="O30" s="897" t="str">
        <f>VLOOKUP(VLOOKUP($C$3&amp;"-"&amp;$D30,Import!$C:$D,2,FALSE),Parameters!$C$18:$F$22,Summary!$C$7,FALSE)</f>
        <v xml:space="preserve">0 - Vastaus puuttuu </v>
      </c>
      <c r="P30" s="898" t="str">
        <f>IF(VLOOKUP($C$3&amp;"-"&amp;$D30,Import!$C:$H,3,FALSE)=0,"",VLOOKUP($C$3&amp;"-"&amp;$D30,Import!$C:$H,3,FALSE))</f>
        <v/>
      </c>
      <c r="Q30" s="898" t="str">
        <f>IF(VLOOKUP($C$3&amp;"-"&amp;$D30,Import!$C:$H,4,FALSE)=0,"",VLOOKUP($C$3&amp;"-"&amp;$D30,Import!$C:$H,4,FALSE))</f>
        <v/>
      </c>
      <c r="R30" s="898" t="str">
        <f>IF(VLOOKUP($C$3&amp;"-"&amp;$D30,Import!$C:$H,5,FALSE)=0,"",VLOOKUP($C$3&amp;"-"&amp;$D30,Import!$C:$H,5,FALSE))</f>
        <v/>
      </c>
      <c r="S30" s="899" t="str">
        <f>IF(VLOOKUP($C$3&amp;"-"&amp;$D30,Import!$C:$H,6,FALSE)=0,"",VLOOKUP($C$3&amp;"-"&amp;$D30,Import!$C:$H,6,FALSE))</f>
        <v/>
      </c>
      <c r="T30" s="154"/>
      <c r="U30" s="252"/>
    </row>
    <row r="31" spans="1:21" s="289" customFormat="1" ht="45" customHeight="1" x14ac:dyDescent="0.2">
      <c r="A31" s="275"/>
      <c r="B31" s="328"/>
      <c r="C31" s="527">
        <v>3</v>
      </c>
      <c r="D31" s="414" t="s">
        <v>13</v>
      </c>
      <c r="E31" s="496" t="str">
        <f>IF(VLOOKUP(CONCATENATE($C$3,"-",$D31),Languages!$A:$D,1,TRUE)=CONCATENATE($C$3,"-",$D31),VLOOKUP(CONCATENATE($C$3,"-",$D31),Languages!$A:$D,Summary!$C$7,TRUE),NA())</f>
        <v>Kyberturvallisuusstrategia on päivitetty säännöllisesti ja määriteltyjen ehtojen täyttyessä kuten muutokset organisaation liiketoiminnassa, toimintaympäristössä tai uhkaprofiilissa [kts. THREAT-2e].</v>
      </c>
      <c r="F31" s="391">
        <f t="shared" si="0"/>
        <v>0</v>
      </c>
      <c r="G31" s="456" t="s">
        <v>2542</v>
      </c>
      <c r="H31" s="513"/>
      <c r="I31" s="513"/>
      <c r="J31" s="513"/>
      <c r="K31" s="514"/>
      <c r="L31" s="154"/>
      <c r="M31" s="252"/>
      <c r="N31" s="149"/>
      <c r="O31" s="886" t="str">
        <f>VLOOKUP(VLOOKUP($C$3&amp;"-"&amp;$D31,Import!$C:$D,2,FALSE),Parameters!$C$18:$F$22,Summary!$C$7,FALSE)</f>
        <v xml:space="preserve">0 - Vastaus puuttuu </v>
      </c>
      <c r="P31" s="900" t="str">
        <f>IF(VLOOKUP($C$3&amp;"-"&amp;$D31,Import!$C:$H,3,FALSE)=0,"",VLOOKUP($C$3&amp;"-"&amp;$D31,Import!$C:$H,3,FALSE))</f>
        <v/>
      </c>
      <c r="Q31" s="900" t="str">
        <f>IF(VLOOKUP($C$3&amp;"-"&amp;$D31,Import!$C:$H,4,FALSE)=0,"",VLOOKUP($C$3&amp;"-"&amp;$D31,Import!$C:$H,4,FALSE))</f>
        <v/>
      </c>
      <c r="R31" s="900" t="str">
        <f>IF(VLOOKUP($C$3&amp;"-"&amp;$D31,Import!$C:$H,5,FALSE)=0,"",VLOOKUP($C$3&amp;"-"&amp;$D31,Import!$C:$H,5,FALSE))</f>
        <v/>
      </c>
      <c r="S31" s="901" t="str">
        <f>IF(VLOOKUP($C$3&amp;"-"&amp;$D31,Import!$C:$H,6,FALSE)=0,"",VLOOKUP($C$3&amp;"-"&amp;$D31,Import!$C:$H,6,FALSE))</f>
        <v/>
      </c>
      <c r="T31" s="154"/>
      <c r="U31" s="252"/>
    </row>
    <row r="32" spans="1:21" s="177" customFormat="1" ht="30" customHeight="1" thickBot="1" x14ac:dyDescent="0.3">
      <c r="A32" s="166"/>
      <c r="B32" s="269"/>
      <c r="C32" s="344">
        <v>2</v>
      </c>
      <c r="D32" s="344" t="str">
        <f>IF(VLOOKUP(CONCATENATE($C$3,"-",C32),Languages!$A:$D,1,TRUE)=CONCATENATE($C$3,"-",C32),VLOOKUP(CONCATENATE($C$3,"-",C32),Languages!$A:$D,Summary!$C$7,TRUE),NA())</f>
        <v>Johdon tuki kyberturvallisuusohjelmalle</v>
      </c>
      <c r="E32" s="344"/>
      <c r="F32" s="345"/>
      <c r="G32" s="906"/>
      <c r="H32" s="906"/>
      <c r="I32" s="906"/>
      <c r="J32" s="906"/>
      <c r="K32" s="906"/>
      <c r="L32" s="154"/>
      <c r="M32" s="252"/>
      <c r="N32" s="149"/>
      <c r="O32" s="345"/>
      <c r="P32" s="345"/>
      <c r="Q32" s="345"/>
      <c r="R32" s="345"/>
      <c r="S32" s="345"/>
      <c r="T32" s="154"/>
      <c r="U32" s="252"/>
    </row>
    <row r="33" spans="1:21" s="285" customFormat="1" ht="19.95" customHeight="1" x14ac:dyDescent="0.2">
      <c r="A33" s="304"/>
      <c r="B33" s="279"/>
      <c r="C33" s="280" t="str">
        <f>IF(VLOOKUP("GEN-LEVEL",Languages!$A:$D,1,TRUE)="GEN-LEVEL",VLOOKUP("GEN-LEVEL",Languages!$A:$D,Summary!$C$7,TRUE),NA())</f>
        <v>Taso</v>
      </c>
      <c r="D33" s="280"/>
      <c r="E33" s="281" t="str">
        <f>IF(VLOOKUP("GEN-PRACTICE",Languages!$A:$D,1,TRUE)="GEN-PRACTICE",VLOOKUP("GEN-PRACTICE",Languages!$A:$D,Summary!$C$7,TRUE),NA())</f>
        <v>Käytäntö</v>
      </c>
      <c r="F33" s="282"/>
      <c r="G33" s="904" t="str">
        <f>IF(VLOOKUP("GEN-ANSWER",Languages!$A:$D,1,TRUE)="GEN-ANSWER",VLOOKUP("GEN-ANSWER",Languages!$A:$D,Summary!$C$7,TRUE),NA())</f>
        <v>Vastaus</v>
      </c>
      <c r="H33" s="905" t="str">
        <f>IF(VLOOKUP("KM112",Languages!$A:$D,1,TRUE)="KM112",VLOOKUP("KM112",Languages!$A:$D,Summary!$C$7,TRUE),NA())</f>
        <v>Kommentit</v>
      </c>
      <c r="I33" s="905" t="str">
        <f>IF(VLOOKUP("KM113",Languages!$A:$D,1,TRUE)="KM113",VLOOKUP("KM113",Languages!$A:$D,Summary!$C$7,TRUE),NA())</f>
        <v>Sisäinen viittaus</v>
      </c>
      <c r="J33" s="905" t="str">
        <f>IF(VLOOKUP("KM114",Languages!$A:$D,1,TRUE)="KM114",VLOOKUP("KM114",Languages!$A:$D,Summary!$C$7,TRUE),NA())</f>
        <v>Ulkoinen viittaus</v>
      </c>
      <c r="K33" s="905" t="str">
        <f>IF(VLOOKUP("KM115",Languages!$A:$D,1,TRUE)="KM115",VLOOKUP("KM115",Languages!$A:$D,Summary!$C$7,TRUE),NA())</f>
        <v>Kehityskohde</v>
      </c>
      <c r="L33" s="283"/>
      <c r="M33" s="284"/>
      <c r="N33" s="279"/>
      <c r="O33" s="463" t="str">
        <f>IF(VLOOKUP("GEN-ANSWER",Languages!$A:$D,1,TRUE)="GEN-ANSWER",VLOOKUP("GEN-ANSWER",Languages!$A:$D,Summary!$C$7,TRUE),NA())</f>
        <v>Vastaus</v>
      </c>
      <c r="P33" s="463" t="str">
        <f>IF(VLOOKUP("KM112",Languages!$A:$D,1,TRUE)="KM112",VLOOKUP("KM112",Languages!$A:$D,Summary!$C$7,TRUE),NA())</f>
        <v>Kommentit</v>
      </c>
      <c r="Q33" s="463" t="str">
        <f>IF(VLOOKUP("KM113",Languages!$A:$D,1,TRUE)="KM113",VLOOKUP("KM113",Languages!$A:$D,Summary!$C$7,TRUE),NA())</f>
        <v>Sisäinen viittaus</v>
      </c>
      <c r="R33" s="463" t="str">
        <f>IF(VLOOKUP("KM114",Languages!$A:$D,1,TRUE)="KM114",VLOOKUP("KM114",Languages!$A:$D,Summary!$C$7,TRUE),NA())</f>
        <v>Ulkoinen viittaus</v>
      </c>
      <c r="S33" s="463" t="str">
        <f>IF(VLOOKUP("KM115",Languages!$A:$D,1,TRUE)="KM115",VLOOKUP("KM115",Languages!$A:$D,Summary!$C$7,TRUE),NA())</f>
        <v>Kehityskohde</v>
      </c>
      <c r="T33" s="283"/>
      <c r="U33" s="284"/>
    </row>
    <row r="34" spans="1:21" s="296" customFormat="1" ht="45" customHeight="1" x14ac:dyDescent="0.2">
      <c r="A34" s="305"/>
      <c r="B34" s="1199"/>
      <c r="C34" s="1016">
        <v>1</v>
      </c>
      <c r="D34" s="395" t="s">
        <v>17</v>
      </c>
      <c r="E34" s="467" t="str">
        <f>IF(VLOOKUP(CONCATENATE($C$3,"-",$D34),Languages!$A:$D,1,TRUE)=CONCATENATE($C$3,"-",$D34),VLOOKUP(CONCATENATE($C$3,"-",$D34),Languages!$A:$D,Summary!$C$7,TRUE),NA())</f>
        <v>Organisaation ylin johto tukee kyberturvallisuuden hallintaa. Tasolla 1 tämän ei tarvitse olla systemaattista ja säännöllistä.</v>
      </c>
      <c r="F34" s="386">
        <f t="shared" ref="F34:F43" si="1">IFERROR(INT(LEFT($G34,1)),0)</f>
        <v>0</v>
      </c>
      <c r="G34" s="445" t="s">
        <v>2542</v>
      </c>
      <c r="H34" s="505"/>
      <c r="I34" s="505"/>
      <c r="J34" s="505"/>
      <c r="K34" s="506"/>
      <c r="L34" s="154"/>
      <c r="M34" s="252"/>
      <c r="N34" s="149"/>
      <c r="O34" s="889" t="str">
        <f>VLOOKUP(VLOOKUP($C$3&amp;"-"&amp;$D34,Import!$C:$D,2,FALSE),Parameters!$C$18:$F$22,Summary!$C$7,FALSE)</f>
        <v xml:space="preserve">0 - Vastaus puuttuu </v>
      </c>
      <c r="P34" s="890" t="str">
        <f>IF(VLOOKUP($C$3&amp;"-"&amp;$D34,Import!$C:$H,3,FALSE)=0,"",VLOOKUP($C$3&amp;"-"&amp;$D34,Import!$C:$H,3,FALSE))</f>
        <v/>
      </c>
      <c r="Q34" s="890" t="str">
        <f>IF(VLOOKUP($C$3&amp;"-"&amp;$D34,Import!$C:$H,4,FALSE)=0,"",VLOOKUP($C$3&amp;"-"&amp;$D34,Import!$C:$H,4,FALSE))</f>
        <v/>
      </c>
      <c r="R34" s="890" t="str">
        <f>IF(VLOOKUP($C$3&amp;"-"&amp;$D34,Import!$C:$H,5,FALSE)=0,"",VLOOKUP($C$3&amp;"-"&amp;$D34,Import!$C:$H,5,FALSE))</f>
        <v/>
      </c>
      <c r="S34" s="891" t="str">
        <f>IF(VLOOKUP($C$3&amp;"-"&amp;$D34,Import!$C:$H,6,FALSE)=0,"",VLOOKUP($C$3&amp;"-"&amp;$D34,Import!$C:$H,6,FALSE))</f>
        <v/>
      </c>
      <c r="T34" s="154"/>
      <c r="U34" s="252"/>
    </row>
    <row r="35" spans="1:21" s="296" customFormat="1" ht="34.950000000000003" customHeight="1" x14ac:dyDescent="0.2">
      <c r="A35" s="305"/>
      <c r="B35" s="1199"/>
      <c r="C35" s="1217">
        <v>2</v>
      </c>
      <c r="D35" s="396" t="s">
        <v>18</v>
      </c>
      <c r="E35" s="474" t="str">
        <f>IF(VLOOKUP(CONCATENATE($C$3,"-",$D35),Languages!$A:$D,1,TRUE)=CONCATENATE($C$3,"-",$D35),VLOOKUP(CONCATENATE($C$3,"-",$D35),Languages!$A:$D,Summary!$C$7,TRUE),NA())</f>
        <v>Kyberturvallisuuden hallinta perustuu kyberturvallisuusstrategiaan.</v>
      </c>
      <c r="F35" s="393">
        <f t="shared" si="1"/>
        <v>0</v>
      </c>
      <c r="G35" s="449" t="s">
        <v>2542</v>
      </c>
      <c r="H35" s="511"/>
      <c r="I35" s="511"/>
      <c r="J35" s="511"/>
      <c r="K35" s="512"/>
      <c r="L35" s="154"/>
      <c r="M35" s="252"/>
      <c r="N35" s="149"/>
      <c r="O35" s="897" t="str">
        <f>VLOOKUP(VLOOKUP($C$3&amp;"-"&amp;$D35,Import!$C:$D,2,FALSE),Parameters!$C$18:$F$22,Summary!$C$7,FALSE)</f>
        <v xml:space="preserve">0 - Vastaus puuttuu </v>
      </c>
      <c r="P35" s="898" t="str">
        <f>IF(VLOOKUP($C$3&amp;"-"&amp;$D35,Import!$C:$H,3,FALSE)=0,"",VLOOKUP($C$3&amp;"-"&amp;$D35,Import!$C:$H,3,FALSE))</f>
        <v/>
      </c>
      <c r="Q35" s="898" t="str">
        <f>IF(VLOOKUP($C$3&amp;"-"&amp;$D35,Import!$C:$H,4,FALSE)=0,"",VLOOKUP($C$3&amp;"-"&amp;$D35,Import!$C:$H,4,FALSE))</f>
        <v/>
      </c>
      <c r="R35" s="898" t="str">
        <f>IF(VLOOKUP($C$3&amp;"-"&amp;$D35,Import!$C:$H,5,FALSE)=0,"",VLOOKUP($C$3&amp;"-"&amp;$D35,Import!$C:$H,5,FALSE))</f>
        <v/>
      </c>
      <c r="S35" s="899" t="str">
        <f>IF(VLOOKUP($C$3&amp;"-"&amp;$D35,Import!$C:$H,6,FALSE)=0,"",VLOOKUP($C$3&amp;"-"&amp;$D35,Import!$C:$H,6,FALSE))</f>
        <v/>
      </c>
      <c r="T35" s="154"/>
      <c r="U35" s="252"/>
    </row>
    <row r="36" spans="1:21" s="296" customFormat="1" ht="34.950000000000003" customHeight="1" x14ac:dyDescent="0.2">
      <c r="A36" s="305"/>
      <c r="B36" s="1199"/>
      <c r="C36" s="1218"/>
      <c r="D36" s="395" t="s">
        <v>19</v>
      </c>
      <c r="E36" s="467" t="str">
        <f>IF(VLOOKUP(CONCATENATE($C$3,"-",$D36),Languages!$A:$D,1,TRUE)=CONCATENATE($C$3,"-",$D36),VLOOKUP(CONCATENATE($C$3,"-",$D36),Languages!$A:$D,Summary!$C$7,TRUE),NA())</f>
        <v>Organisaation ylimmän johdon tuki kyberturvallisuuden hallinnalle  on näkyvää ja aktiivista.</v>
      </c>
      <c r="F36" s="386">
        <f t="shared" si="1"/>
        <v>0</v>
      </c>
      <c r="G36" s="445" t="s">
        <v>2542</v>
      </c>
      <c r="H36" s="515"/>
      <c r="I36" s="515"/>
      <c r="J36" s="515"/>
      <c r="K36" s="516"/>
      <c r="L36" s="154"/>
      <c r="M36" s="252"/>
      <c r="N36" s="149"/>
      <c r="O36" s="889" t="str">
        <f>VLOOKUP(VLOOKUP($C$3&amp;"-"&amp;$D36,Import!$C:$D,2,FALSE),Parameters!$C$18:$F$22,Summary!$C$7,FALSE)</f>
        <v xml:space="preserve">0 - Vastaus puuttuu </v>
      </c>
      <c r="P36" s="902" t="str">
        <f>IF(VLOOKUP($C$3&amp;"-"&amp;$D36,Import!$C:$H,3,FALSE)=0,"",VLOOKUP($C$3&amp;"-"&amp;$D36,Import!$C:$H,3,FALSE))</f>
        <v/>
      </c>
      <c r="Q36" s="902" t="str">
        <f>IF(VLOOKUP($C$3&amp;"-"&amp;$D36,Import!$C:$H,4,FALSE)=0,"",VLOOKUP($C$3&amp;"-"&amp;$D36,Import!$C:$H,4,FALSE))</f>
        <v/>
      </c>
      <c r="R36" s="902" t="str">
        <f>IF(VLOOKUP($C$3&amp;"-"&amp;$D36,Import!$C:$H,5,FALSE)=0,"",VLOOKUP($C$3&amp;"-"&amp;$D36,Import!$C:$H,5,FALSE))</f>
        <v/>
      </c>
      <c r="S36" s="903" t="str">
        <f>IF(VLOOKUP($C$3&amp;"-"&amp;$D36,Import!$C:$H,6,FALSE)=0,"",VLOOKUP($C$3&amp;"-"&amp;$D36,Import!$C:$H,6,FALSE))</f>
        <v/>
      </c>
      <c r="T36" s="154"/>
      <c r="U36" s="252"/>
    </row>
    <row r="37" spans="1:21" s="296" customFormat="1" ht="40.200000000000003" customHeight="1" x14ac:dyDescent="0.2">
      <c r="A37" s="305"/>
      <c r="B37" s="1199"/>
      <c r="C37" s="1218"/>
      <c r="D37" s="294" t="s">
        <v>20</v>
      </c>
      <c r="E37" s="468" t="str">
        <f>IF(VLOOKUP(CONCATENATE($C$3,"-",$D37),Languages!$A:$D,1,TRUE)=CONCATENATE($C$3,"-",$D37),VLOOKUP(CONCATENATE($C$3,"-",$D37),Languages!$A:$D,Summary!$C$7,TRUE),NA())</f>
        <v>Organisaation ylin johto tukee kyberturvallisuuspolitiikkojen ja -ohjeiden kehittämistä, ylläpitoa ja täytäntöönpanoa.</v>
      </c>
      <c r="F37" s="287">
        <f t="shared" si="1"/>
        <v>0</v>
      </c>
      <c r="G37" s="307" t="s">
        <v>2542</v>
      </c>
      <c r="H37" s="509"/>
      <c r="I37" s="509"/>
      <c r="J37" s="509"/>
      <c r="K37" s="510"/>
      <c r="L37" s="154"/>
      <c r="M37" s="252"/>
      <c r="N37" s="149"/>
      <c r="O37" s="892" t="str">
        <f>VLOOKUP(VLOOKUP($C$3&amp;"-"&amp;$D37,Import!$C:$D,2,FALSE),Parameters!$C$18:$F$22,Summary!$C$7,FALSE)</f>
        <v xml:space="preserve">0 - Vastaus puuttuu </v>
      </c>
      <c r="P37" s="895" t="str">
        <f>IF(VLOOKUP($C$3&amp;"-"&amp;$D37,Import!$C:$H,3,FALSE)=0,"",VLOOKUP($C$3&amp;"-"&amp;$D37,Import!$C:$H,3,FALSE))</f>
        <v/>
      </c>
      <c r="Q37" s="895" t="str">
        <f>IF(VLOOKUP($C$3&amp;"-"&amp;$D37,Import!$C:$H,4,FALSE)=0,"",VLOOKUP($C$3&amp;"-"&amp;$D37,Import!$C:$H,4,FALSE))</f>
        <v/>
      </c>
      <c r="R37" s="895" t="str">
        <f>IF(VLOOKUP($C$3&amp;"-"&amp;$D37,Import!$C:$H,5,FALSE)=0,"",VLOOKUP($C$3&amp;"-"&amp;$D37,Import!$C:$H,5,FALSE))</f>
        <v/>
      </c>
      <c r="S37" s="896" t="str">
        <f>IF(VLOOKUP($C$3&amp;"-"&amp;$D37,Import!$C:$H,6,FALSE)=0,"",VLOOKUP($C$3&amp;"-"&amp;$D37,Import!$C:$H,6,FALSE))</f>
        <v/>
      </c>
      <c r="T37" s="154"/>
      <c r="U37" s="252"/>
    </row>
    <row r="38" spans="1:21" s="296" customFormat="1" ht="34.950000000000003" customHeight="1" x14ac:dyDescent="0.2">
      <c r="A38" s="305"/>
      <c r="B38" s="1199"/>
      <c r="C38" s="1218"/>
      <c r="D38" s="294" t="s">
        <v>21</v>
      </c>
      <c r="E38" s="468" t="str">
        <f>IF(VLOOKUP(CONCATENATE($C$3,"-",$D38),Languages!$A:$D,1,TRUE)=CONCATENATE($C$3,"-",$D38),VLOOKUP(CONCATENATE($C$3,"-",$D38),Languages!$A:$D,Summary!$C$7,TRUE),NA())</f>
        <v>Vastuu kyberturvallisuuden hallinnasta on osoitettu organisaatiossa taholle, jolla on riittävät toimivaltuudet.</v>
      </c>
      <c r="F38" s="287">
        <f t="shared" si="1"/>
        <v>0</v>
      </c>
      <c r="G38" s="307" t="s">
        <v>2542</v>
      </c>
      <c r="H38" s="509"/>
      <c r="I38" s="509"/>
      <c r="J38" s="509"/>
      <c r="K38" s="510"/>
      <c r="L38" s="154"/>
      <c r="M38" s="252"/>
      <c r="N38" s="149"/>
      <c r="O38" s="892" t="str">
        <f>VLOOKUP(VLOOKUP($C$3&amp;"-"&amp;$D38,Import!$C:$D,2,FALSE),Parameters!$C$18:$F$22,Summary!$C$7,FALSE)</f>
        <v xml:space="preserve">0 - Vastaus puuttuu </v>
      </c>
      <c r="P38" s="895" t="str">
        <f>IF(VLOOKUP($C$3&amp;"-"&amp;$D38,Import!$C:$H,3,FALSE)=0,"",VLOOKUP($C$3&amp;"-"&amp;$D38,Import!$C:$H,3,FALSE))</f>
        <v/>
      </c>
      <c r="Q38" s="895" t="str">
        <f>IF(VLOOKUP($C$3&amp;"-"&amp;$D38,Import!$C:$H,4,FALSE)=0,"",VLOOKUP($C$3&amp;"-"&amp;$D38,Import!$C:$H,4,FALSE))</f>
        <v/>
      </c>
      <c r="R38" s="895" t="str">
        <f>IF(VLOOKUP($C$3&amp;"-"&amp;$D38,Import!$C:$H,5,FALSE)=0,"",VLOOKUP($C$3&amp;"-"&amp;$D38,Import!$C:$H,5,FALSE))</f>
        <v/>
      </c>
      <c r="S38" s="896" t="str">
        <f>IF(VLOOKUP($C$3&amp;"-"&amp;$D38,Import!$C:$H,6,FALSE)=0,"",VLOOKUP($C$3&amp;"-"&amp;$D38,Import!$C:$H,6,FALSE))</f>
        <v/>
      </c>
      <c r="T38" s="154"/>
      <c r="U38" s="252"/>
    </row>
    <row r="39" spans="1:21" s="296" customFormat="1" ht="34.950000000000003" customHeight="1" x14ac:dyDescent="0.2">
      <c r="A39" s="305"/>
      <c r="B39" s="1199"/>
      <c r="C39" s="1218"/>
      <c r="D39" s="294" t="s">
        <v>103</v>
      </c>
      <c r="E39" s="468" t="str">
        <f>IF(VLOOKUP(CONCATENATE($C$3,"-",$D39),Languages!$A:$D,1,TRUE)=CONCATENATE($C$3,"-",$D39),VLOOKUP(CONCATENATE($C$3,"-",$D39),Languages!$A:$D,Summary!$C$7,TRUE),NA())</f>
        <v>Kyberturvallisuuden hallinnan sidosryhmät on tunnistettu ja osallistettu.</v>
      </c>
      <c r="F39" s="287">
        <f t="shared" si="1"/>
        <v>0</v>
      </c>
      <c r="G39" s="307" t="s">
        <v>2542</v>
      </c>
      <c r="H39" s="509"/>
      <c r="I39" s="509"/>
      <c r="J39" s="509"/>
      <c r="K39" s="510"/>
      <c r="L39" s="154"/>
      <c r="M39" s="252"/>
      <c r="N39" s="149"/>
      <c r="O39" s="892" t="str">
        <f>VLOOKUP(VLOOKUP($C$3&amp;"-"&amp;$D39,Import!$C:$D,2,FALSE),Parameters!$C$18:$F$22,Summary!$C$7,FALSE)</f>
        <v xml:space="preserve">0 - Vastaus puuttuu </v>
      </c>
      <c r="P39" s="895" t="str">
        <f>IF(VLOOKUP($C$3&amp;"-"&amp;$D39,Import!$C:$H,3,FALSE)=0,"",VLOOKUP($C$3&amp;"-"&amp;$D39,Import!$C:$H,3,FALSE))</f>
        <v/>
      </c>
      <c r="Q39" s="895" t="str">
        <f>IF(VLOOKUP($C$3&amp;"-"&amp;$D39,Import!$C:$H,4,FALSE)=0,"",VLOOKUP($C$3&amp;"-"&amp;$D39,Import!$C:$H,4,FALSE))</f>
        <v/>
      </c>
      <c r="R39" s="895" t="str">
        <f>IF(VLOOKUP($C$3&amp;"-"&amp;$D39,Import!$C:$H,5,FALSE)=0,"",VLOOKUP($C$3&amp;"-"&amp;$D39,Import!$C:$H,5,FALSE))</f>
        <v/>
      </c>
      <c r="S39" s="896" t="str">
        <f>IF(VLOOKUP($C$3&amp;"-"&amp;$D39,Import!$C:$H,6,FALSE)=0,"",VLOOKUP($C$3&amp;"-"&amp;$D39,Import!$C:$H,6,FALSE))</f>
        <v/>
      </c>
      <c r="T39" s="154"/>
      <c r="U39" s="252"/>
    </row>
    <row r="40" spans="1:21" s="296" customFormat="1" ht="34.950000000000003" customHeight="1" x14ac:dyDescent="0.2">
      <c r="A40" s="305"/>
      <c r="B40" s="1199"/>
      <c r="C40" s="1209">
        <v>3</v>
      </c>
      <c r="D40" s="294" t="s">
        <v>165</v>
      </c>
      <c r="E40" s="468" t="str">
        <f>IF(VLOOKUP(CONCATENATE($C$3,"-",$D40),Languages!$A:$D,1,TRUE)=CONCATENATE($C$3,"-",$D40),VLOOKUP(CONCATENATE($C$3,"-",$D40),Languages!$A:$D,Summary!$C$7,TRUE),NA())</f>
        <v>Kyberturvallisuuden hallinnan toiminta tarkastetaan aika ajoin, jotta varmistetaan että toimet ovat linjassa kyberturvallisuusstrategian kanssa.</v>
      </c>
      <c r="F40" s="287">
        <f t="shared" si="1"/>
        <v>0</v>
      </c>
      <c r="G40" s="307" t="s">
        <v>2542</v>
      </c>
      <c r="H40" s="509"/>
      <c r="I40" s="509"/>
      <c r="J40" s="509"/>
      <c r="K40" s="510"/>
      <c r="L40" s="154"/>
      <c r="M40" s="252"/>
      <c r="N40" s="149"/>
      <c r="O40" s="892" t="str">
        <f>VLOOKUP(VLOOKUP($C$3&amp;"-"&amp;$D40,Import!$C:$D,2,FALSE),Parameters!$C$18:$F$22,Summary!$C$7,FALSE)</f>
        <v xml:space="preserve">0 - Vastaus puuttuu </v>
      </c>
      <c r="P40" s="895" t="str">
        <f>IF(VLOOKUP($C$3&amp;"-"&amp;$D40,Import!$C:$H,3,FALSE)=0,"",VLOOKUP($C$3&amp;"-"&amp;$D40,Import!$C:$H,3,FALSE))</f>
        <v/>
      </c>
      <c r="Q40" s="895" t="str">
        <f>IF(VLOOKUP($C$3&amp;"-"&amp;$D40,Import!$C:$H,4,FALSE)=0,"",VLOOKUP($C$3&amp;"-"&amp;$D40,Import!$C:$H,4,FALSE))</f>
        <v/>
      </c>
      <c r="R40" s="895" t="str">
        <f>IF(VLOOKUP($C$3&amp;"-"&amp;$D40,Import!$C:$H,5,FALSE)=0,"",VLOOKUP($C$3&amp;"-"&amp;$D40,Import!$C:$H,5,FALSE))</f>
        <v/>
      </c>
      <c r="S40" s="896" t="str">
        <f>IF(VLOOKUP($C$3&amp;"-"&amp;$D40,Import!$C:$H,6,FALSE)=0,"",VLOOKUP($C$3&amp;"-"&amp;$D40,Import!$C:$H,6,FALSE))</f>
        <v/>
      </c>
      <c r="T40" s="154"/>
      <c r="U40" s="252"/>
    </row>
    <row r="41" spans="1:21" s="296" customFormat="1" ht="34.950000000000003" customHeight="1" x14ac:dyDescent="0.2">
      <c r="A41" s="305"/>
      <c r="B41" s="1199"/>
      <c r="C41" s="1210"/>
      <c r="D41" s="396" t="s">
        <v>167</v>
      </c>
      <c r="E41" s="474" t="str">
        <f>IF(VLOOKUP(CONCATENATE($C$3,"-",$D41),Languages!$A:$D,1,TRUE)=CONCATENATE($C$3,"-",$D41),VLOOKUP(CONCATENATE($C$3,"-",$D41),Languages!$A:$D,Summary!$C$7,TRUE),NA())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F41" s="393">
        <f t="shared" si="1"/>
        <v>0</v>
      </c>
      <c r="G41" s="449" t="s">
        <v>2542</v>
      </c>
      <c r="H41" s="511"/>
      <c r="I41" s="511"/>
      <c r="J41" s="511"/>
      <c r="K41" s="512"/>
      <c r="L41" s="154"/>
      <c r="M41" s="252"/>
      <c r="N41" s="149"/>
      <c r="O41" s="897" t="str">
        <f>VLOOKUP(VLOOKUP($C$3&amp;"-"&amp;$D41,Import!$C:$D,2,FALSE),Parameters!$C$18:$F$22,Summary!$C$7,FALSE)</f>
        <v xml:space="preserve">0 - Vastaus puuttuu </v>
      </c>
      <c r="P41" s="898" t="str">
        <f>IF(VLOOKUP($C$3&amp;"-"&amp;$D41,Import!$C:$H,3,FALSE)=0,"",VLOOKUP($C$3&amp;"-"&amp;$D41,Import!$C:$H,3,FALSE))</f>
        <v/>
      </c>
      <c r="Q41" s="898" t="str">
        <f>IF(VLOOKUP($C$3&amp;"-"&amp;$D41,Import!$C:$H,4,FALSE)=0,"",VLOOKUP($C$3&amp;"-"&amp;$D41,Import!$C:$H,4,FALSE))</f>
        <v/>
      </c>
      <c r="R41" s="898" t="str">
        <f>IF(VLOOKUP($C$3&amp;"-"&amp;$D41,Import!$C:$H,5,FALSE)=0,"",VLOOKUP($C$3&amp;"-"&amp;$D41,Import!$C:$H,5,FALSE))</f>
        <v/>
      </c>
      <c r="S41" s="899" t="str">
        <f>IF(VLOOKUP($C$3&amp;"-"&amp;$D41,Import!$C:$H,6,FALSE)=0,"",VLOOKUP($C$3&amp;"-"&amp;$D41,Import!$C:$H,6,FALSE))</f>
        <v/>
      </c>
      <c r="T41" s="154"/>
      <c r="U41" s="252"/>
    </row>
    <row r="42" spans="1:21" s="296" customFormat="1" ht="40.799999999999997" customHeight="1" x14ac:dyDescent="0.2">
      <c r="A42" s="305"/>
      <c r="B42" s="1199"/>
      <c r="C42" s="1210"/>
      <c r="D42" s="395" t="s">
        <v>198</v>
      </c>
      <c r="E42" s="467" t="str">
        <f>IF(VLOOKUP(CONCATENATE($C$3,"-",$D42),Languages!$A:$D,1,TRUE)=CONCATENATE($C$3,"-",$D42),VLOOKUP(CONCATENATE($C$3,"-",$D42),Languages!$A:$D,Summary!$C$7,TRUE),NA())</f>
        <v xml:space="preserve">Kyberturvallisuuden kehittämisohjelma huomioi organisaatiota velvoittavien lakien, sääntöjen ja määräysten noudattamisen.
</v>
      </c>
      <c r="F42" s="386">
        <f t="shared" si="1"/>
        <v>0</v>
      </c>
      <c r="G42" s="445" t="s">
        <v>2542</v>
      </c>
      <c r="H42" s="515"/>
      <c r="I42" s="515"/>
      <c r="J42" s="515"/>
      <c r="K42" s="516"/>
      <c r="L42" s="154"/>
      <c r="M42" s="252"/>
      <c r="N42" s="149"/>
      <c r="O42" s="889" t="str">
        <f>VLOOKUP(VLOOKUP($C$3&amp;"-"&amp;$D42,Import!$C:$D,2,FALSE),Parameters!$C$18:$F$22,Summary!$C$7,FALSE)</f>
        <v xml:space="preserve">0 - Vastaus puuttuu </v>
      </c>
      <c r="P42" s="902" t="str">
        <f>IF(VLOOKUP($C$3&amp;"-"&amp;$D42,Import!$C:$H,3,FALSE)=0,"",VLOOKUP($C$3&amp;"-"&amp;$D42,Import!$C:$H,3,FALSE))</f>
        <v/>
      </c>
      <c r="Q42" s="902" t="str">
        <f>IF(VLOOKUP($C$3&amp;"-"&amp;$D42,Import!$C:$H,4,FALSE)=0,"",VLOOKUP($C$3&amp;"-"&amp;$D42,Import!$C:$H,4,FALSE))</f>
        <v/>
      </c>
      <c r="R42" s="902" t="str">
        <f>IF(VLOOKUP($C$3&amp;"-"&amp;$D42,Import!$C:$H,5,FALSE)=0,"",VLOOKUP($C$3&amp;"-"&amp;$D42,Import!$C:$H,5,FALSE))</f>
        <v/>
      </c>
      <c r="S42" s="903" t="str">
        <f>IF(VLOOKUP($C$3&amp;"-"&amp;$D42,Import!$C:$H,6,FALSE)=0,"",VLOOKUP($C$3&amp;"-"&amp;$D42,Import!$C:$H,6,FALSE))</f>
        <v/>
      </c>
      <c r="T42" s="154"/>
      <c r="U42" s="252"/>
    </row>
    <row r="43" spans="1:21" s="296" customFormat="1" ht="60" customHeight="1" x14ac:dyDescent="0.2">
      <c r="A43" s="305"/>
      <c r="B43" s="1199"/>
      <c r="C43" s="1211"/>
      <c r="D43" s="396" t="s">
        <v>200</v>
      </c>
      <c r="E43" s="474" t="str">
        <f>IF(VLOOKUP(CONCATENATE($C$3,"-",$D43),Languages!$A:$D,1,TRUE)=CONCATENATE($C$3,"-",$D43),VLOOKUP(CONCATENATE($C$3,"-",$D43),Languages!$A:$D,Summary!$C$7,TRUE),NA())</f>
        <v>Organisaatio tekee yhteistyötä ulkoisten toimijoiden kanssa edistääkseen kyberturvallisuusstandardien, suositusten, johtavien käytäntöjen, tapauksista käytävän tiedonvaihdon sekä kehittyvien teknologioiden kehitystä ja käyttöönottoa.</v>
      </c>
      <c r="F43" s="393">
        <f t="shared" si="1"/>
        <v>0</v>
      </c>
      <c r="G43" s="449" t="s">
        <v>2542</v>
      </c>
      <c r="H43" s="511"/>
      <c r="I43" s="511"/>
      <c r="J43" s="511"/>
      <c r="K43" s="512"/>
      <c r="L43" s="154"/>
      <c r="M43" s="252"/>
      <c r="N43" s="149"/>
      <c r="O43" s="897" t="str">
        <f>VLOOKUP(VLOOKUP($C$3&amp;"-"&amp;$D43,Import!$C:$D,2,FALSE),Parameters!$C$18:$F$22,Summary!$C$7,FALSE)</f>
        <v xml:space="preserve">0 - Vastaus puuttuu </v>
      </c>
      <c r="P43" s="898" t="str">
        <f>IF(VLOOKUP($C$3&amp;"-"&amp;$D43,Import!$C:$H,3,FALSE)=0,"",VLOOKUP($C$3&amp;"-"&amp;$D43,Import!$C:$H,3,FALSE))</f>
        <v/>
      </c>
      <c r="Q43" s="898" t="str">
        <f>IF(VLOOKUP($C$3&amp;"-"&amp;$D43,Import!$C:$H,4,FALSE)=0,"",VLOOKUP($C$3&amp;"-"&amp;$D43,Import!$C:$H,4,FALSE))</f>
        <v/>
      </c>
      <c r="R43" s="898" t="str">
        <f>IF(VLOOKUP($C$3&amp;"-"&amp;$D43,Import!$C:$H,5,FALSE)=0,"",VLOOKUP($C$3&amp;"-"&amp;$D43,Import!$C:$H,5,FALSE))</f>
        <v/>
      </c>
      <c r="S43" s="899" t="str">
        <f>IF(VLOOKUP($C$3&amp;"-"&amp;$D43,Import!$C:$H,6,FALSE)=0,"",VLOOKUP($C$3&amp;"-"&amp;$D43,Import!$C:$H,6,FALSE))</f>
        <v/>
      </c>
      <c r="T43" s="154"/>
      <c r="U43" s="252"/>
    </row>
    <row r="44" spans="1:21" s="177" customFormat="1" ht="30" customHeight="1" x14ac:dyDescent="0.25">
      <c r="A44" s="166"/>
      <c r="B44" s="269"/>
      <c r="C44" s="170">
        <v>3</v>
      </c>
      <c r="D44" s="170" t="str">
        <f>IF(VLOOKUP(CONCATENATE($C$3,"-",C44),Languages!$A:$D,1,TRUE)=CONCATENATE($C$3,"-",C44),VLOOKUP(CONCATENATE($C$3,"-",C44),Languages!$A:$D,Summary!$C$7,TRUE),NA())</f>
        <v>Yleisiä hallintatoimia</v>
      </c>
      <c r="E44" s="170"/>
      <c r="F44" s="292"/>
      <c r="G44" s="907"/>
      <c r="H44" s="907"/>
      <c r="I44" s="907"/>
      <c r="J44" s="907"/>
      <c r="K44" s="907"/>
      <c r="L44" s="154"/>
      <c r="M44" s="252"/>
      <c r="N44" s="149"/>
      <c r="O44" s="292"/>
      <c r="P44" s="292"/>
      <c r="Q44" s="292"/>
      <c r="R44" s="292"/>
      <c r="S44" s="292"/>
      <c r="T44" s="154"/>
      <c r="U44" s="252"/>
    </row>
    <row r="45" spans="1:21" s="285" customFormat="1" ht="19.95" customHeight="1" x14ac:dyDescent="0.2">
      <c r="A45" s="304"/>
      <c r="B45" s="279"/>
      <c r="C45" s="280" t="str">
        <f>IF(VLOOKUP("GEN-LEVEL",Languages!$A:$D,1,TRUE)="GEN-LEVEL",VLOOKUP("GEN-LEVEL",Languages!$A:$D,Summary!$C$7,TRUE),NA())</f>
        <v>Taso</v>
      </c>
      <c r="D45" s="280"/>
      <c r="E45" s="281" t="str">
        <f>IF(VLOOKUP("GEN-PRACTICE",Languages!$A:$D,1,TRUE)="GEN-PRACTICE",VLOOKUP("GEN-PRACTICE",Languages!$A:$D,Summary!$C$7,TRUE),NA())</f>
        <v>Käytäntö</v>
      </c>
      <c r="F45" s="282"/>
      <c r="G45" s="904" t="str">
        <f>IF(VLOOKUP("GEN-ANSWER",Languages!$A:$D,1,TRUE)="GEN-ANSWER",VLOOKUP("GEN-ANSWER",Languages!$A:$D,Summary!$C$7,TRUE),NA())</f>
        <v>Vastaus</v>
      </c>
      <c r="H45" s="905" t="str">
        <f>IF(VLOOKUP("KM112",Languages!$A:$D,1,TRUE)="KM112",VLOOKUP("KM112",Languages!$A:$D,Summary!$C$7,TRUE),NA())</f>
        <v>Kommentit</v>
      </c>
      <c r="I45" s="905" t="str">
        <f>IF(VLOOKUP("KM113",Languages!$A:$D,1,TRUE)="KM113",VLOOKUP("KM113",Languages!$A:$D,Summary!$C$7,TRUE),NA())</f>
        <v>Sisäinen viittaus</v>
      </c>
      <c r="J45" s="905" t="str">
        <f>IF(VLOOKUP("KM114",Languages!$A:$D,1,TRUE)="KM114",VLOOKUP("KM114",Languages!$A:$D,Summary!$C$7,TRUE),NA())</f>
        <v>Ulkoinen viittaus</v>
      </c>
      <c r="K45" s="905" t="str">
        <f>IF(VLOOKUP("KM115",Languages!$A:$D,1,TRUE)="KM115",VLOOKUP("KM115",Languages!$A:$D,Summary!$C$7,TRUE),NA())</f>
        <v>Kehityskohde</v>
      </c>
      <c r="L45" s="283"/>
      <c r="M45" s="284"/>
      <c r="N45" s="279"/>
      <c r="O45" s="463" t="str">
        <f>IF(VLOOKUP("GEN-ANSWER",Languages!$A:$D,1,TRUE)="GEN-ANSWER",VLOOKUP("GEN-ANSWER",Languages!$A:$D,Summary!$C$7,TRUE),NA())</f>
        <v>Vastaus</v>
      </c>
      <c r="P45" s="463" t="str">
        <f>IF(VLOOKUP("KM112",Languages!$A:$D,1,TRUE)="KM112",VLOOKUP("KM112",Languages!$A:$D,Summary!$C$7,TRUE),NA())</f>
        <v>Kommentit</v>
      </c>
      <c r="Q45" s="463" t="str">
        <f>IF(VLOOKUP("KM113",Languages!$A:$D,1,TRUE)="KM113",VLOOKUP("KM113",Languages!$A:$D,Summary!$C$7,TRUE),NA())</f>
        <v>Sisäinen viittaus</v>
      </c>
      <c r="R45" s="463" t="str">
        <f>IF(VLOOKUP("KM114",Languages!$A:$D,1,TRUE)="KM114",VLOOKUP("KM114",Languages!$A:$D,Summary!$C$7,TRUE),NA())</f>
        <v>Ulkoinen viittaus</v>
      </c>
      <c r="S45" s="463" t="str">
        <f>IF(VLOOKUP("KM115",Languages!$A:$D,1,TRUE)="KM115",VLOOKUP("KM115",Languages!$A:$D,Summary!$C$7,TRUE),NA())</f>
        <v>Kehityskohde</v>
      </c>
      <c r="T45" s="283"/>
      <c r="U45" s="284"/>
    </row>
    <row r="46" spans="1:21" s="311" customFormat="1" ht="19.95" customHeight="1" x14ac:dyDescent="0.2">
      <c r="A46" s="284"/>
      <c r="B46" s="279"/>
      <c r="C46" s="457">
        <v>1</v>
      </c>
      <c r="D46" s="401"/>
      <c r="E46" s="402"/>
      <c r="F46" s="404"/>
      <c r="G46" s="908"/>
      <c r="H46" s="909"/>
      <c r="I46" s="909"/>
      <c r="J46" s="909"/>
      <c r="K46" s="910"/>
      <c r="L46" s="154"/>
      <c r="M46" s="252"/>
      <c r="N46" s="149"/>
      <c r="O46" s="517"/>
      <c r="P46" s="403"/>
      <c r="Q46" s="403"/>
      <c r="R46" s="403"/>
      <c r="S46" s="405"/>
      <c r="T46" s="154"/>
      <c r="U46" s="252"/>
    </row>
    <row r="47" spans="1:21" s="296" customFormat="1" ht="34.950000000000003" customHeight="1" x14ac:dyDescent="0.2">
      <c r="A47" s="305"/>
      <c r="B47" s="1199"/>
      <c r="C47" s="1207">
        <v>2</v>
      </c>
      <c r="D47" s="395" t="s">
        <v>22</v>
      </c>
      <c r="E47" s="467" t="str">
        <f>IF(VLOOKUP(CONCATENATE($C$3,"-",$D47),Languages!$A:$D,1,TRUE)=CONCATENATE($C$3,"-",$D47),VLOOKUP(CONCATENATE($C$3,"-",$D47),Languages!$A:$D,Summary!$C$7,TRUE),NA())</f>
        <v>PROGRAM-osion toimintaa varten on määritetty dokumentoidut toimintatavat, joita noudatetaan ja päivitetään säännöllisesti.</v>
      </c>
      <c r="F47" s="386">
        <f t="shared" ref="F47:F52" si="2">IFERROR(INT(LEFT($G47,1)),0)</f>
        <v>0</v>
      </c>
      <c r="G47" s="445" t="s">
        <v>2542</v>
      </c>
      <c r="H47" s="515"/>
      <c r="I47" s="515"/>
      <c r="J47" s="515"/>
      <c r="K47" s="516"/>
      <c r="L47" s="154"/>
      <c r="M47" s="252"/>
      <c r="N47" s="149"/>
      <c r="O47" s="889" t="str">
        <f>VLOOKUP(VLOOKUP($C$3&amp;"-"&amp;$D47,Import!$C:$D,2,FALSE),Parameters!$C$18:$F$22,Summary!$C$7,FALSE)</f>
        <v xml:space="preserve">0 - Vastaus puuttuu </v>
      </c>
      <c r="P47" s="902" t="str">
        <f>IF(VLOOKUP($C$3&amp;"-"&amp;$D47,Import!$C:$H,3,FALSE)=0,"",VLOOKUP($C$3&amp;"-"&amp;$D47,Import!$C:$H,3,FALSE))</f>
        <v/>
      </c>
      <c r="Q47" s="902" t="str">
        <f>IF(VLOOKUP($C$3&amp;"-"&amp;$D47,Import!$C:$H,4,FALSE)=0,"",VLOOKUP($C$3&amp;"-"&amp;$D47,Import!$C:$H,4,FALSE))</f>
        <v/>
      </c>
      <c r="R47" s="902" t="str">
        <f>IF(VLOOKUP($C$3&amp;"-"&amp;$D47,Import!$C:$H,5,FALSE)=0,"",VLOOKUP($C$3&amp;"-"&amp;$D47,Import!$C:$H,5,FALSE))</f>
        <v/>
      </c>
      <c r="S47" s="903" t="str">
        <f>IF(VLOOKUP($C$3&amp;"-"&amp;$D47,Import!$C:$H,6,FALSE)=0,"",VLOOKUP($C$3&amp;"-"&amp;$D47,Import!$C:$H,6,FALSE))</f>
        <v/>
      </c>
      <c r="T47" s="154"/>
      <c r="U47" s="252"/>
    </row>
    <row r="48" spans="1:21" s="296" customFormat="1" ht="34.950000000000003" customHeight="1" x14ac:dyDescent="0.2">
      <c r="A48" s="305"/>
      <c r="B48" s="1199"/>
      <c r="C48" s="1208"/>
      <c r="D48" s="396" t="s">
        <v>23</v>
      </c>
      <c r="E48" s="474" t="str">
        <f>IF(VLOOKUP(CONCATENATE($C$3,"-",$D48),Languages!$A:$D,1,TRUE)=CONCATENATE($C$3,"-",$D48),VLOOKUP(CONCATENATE($C$3,"-",$D48),Languages!$A:$D,Summary!$C$7,TRUE),NA())</f>
        <v>PROGRAM-osion toimintaa varten on tarjolla riittävät resurssit (henkilöstö, rahoitus ja työkalut).</v>
      </c>
      <c r="F48" s="393">
        <f t="shared" si="2"/>
        <v>0</v>
      </c>
      <c r="G48" s="449" t="s">
        <v>2542</v>
      </c>
      <c r="H48" s="511"/>
      <c r="I48" s="511"/>
      <c r="J48" s="511"/>
      <c r="K48" s="512"/>
      <c r="L48" s="154"/>
      <c r="M48" s="252"/>
      <c r="N48" s="149"/>
      <c r="O48" s="897" t="str">
        <f>VLOOKUP(VLOOKUP($C$3&amp;"-"&amp;$D48,Import!$C:$D,2,FALSE),Parameters!$C$18:$F$22,Summary!$C$7,FALSE)</f>
        <v xml:space="preserve">0 - Vastaus puuttuu </v>
      </c>
      <c r="P48" s="898" t="str">
        <f>IF(VLOOKUP($C$3&amp;"-"&amp;$D48,Import!$C:$H,3,FALSE)=0,"",VLOOKUP($C$3&amp;"-"&amp;$D48,Import!$C:$H,3,FALSE))</f>
        <v/>
      </c>
      <c r="Q48" s="898" t="str">
        <f>IF(VLOOKUP($C$3&amp;"-"&amp;$D48,Import!$C:$H,4,FALSE)=0,"",VLOOKUP($C$3&amp;"-"&amp;$D48,Import!$C:$H,4,FALSE))</f>
        <v/>
      </c>
      <c r="R48" s="898" t="str">
        <f>IF(VLOOKUP($C$3&amp;"-"&amp;$D48,Import!$C:$H,5,FALSE)=0,"",VLOOKUP($C$3&amp;"-"&amp;$D48,Import!$C:$H,5,FALSE))</f>
        <v/>
      </c>
      <c r="S48" s="899" t="str">
        <f>IF(VLOOKUP($C$3&amp;"-"&amp;$D48,Import!$C:$H,6,FALSE)=0,"",VLOOKUP($C$3&amp;"-"&amp;$D48,Import!$C:$H,6,FALSE))</f>
        <v/>
      </c>
      <c r="T48" s="154"/>
      <c r="U48" s="252"/>
    </row>
    <row r="49" spans="1:21" s="296" customFormat="1" ht="34.950000000000003" customHeight="1" x14ac:dyDescent="0.2">
      <c r="A49" s="305"/>
      <c r="B49" s="1199"/>
      <c r="C49" s="1209">
        <v>3</v>
      </c>
      <c r="D49" s="395" t="s">
        <v>24</v>
      </c>
      <c r="E49" s="467" t="str">
        <f>IF(VLOOKUP(CONCATENATE($C$3,"-",$D49),Languages!$A:$D,1,TRUE)=CONCATENATE($C$3,"-",$D49),VLOOKUP(CONCATENATE($C$3,"-",$D49),Languages!$A:$D,Summary!$C$7,TRUE),NA())</f>
        <v>PROGRAM-osion toimintaa ohjataan vaatimuksilla, jotka on asetettu organisaation johtotason politiikassa (tai vastaavassa ohjeistuksessa).</v>
      </c>
      <c r="F49" s="386">
        <f t="shared" si="2"/>
        <v>0</v>
      </c>
      <c r="G49" s="445" t="s">
        <v>2542</v>
      </c>
      <c r="H49" s="515"/>
      <c r="I49" s="515"/>
      <c r="J49" s="515"/>
      <c r="K49" s="516"/>
      <c r="L49" s="154"/>
      <c r="M49" s="252"/>
      <c r="N49" s="149"/>
      <c r="O49" s="889" t="str">
        <f>VLOOKUP(VLOOKUP($C$3&amp;"-"&amp;$D49,Import!$C:$D,2,FALSE),Parameters!$C$18:$F$22,Summary!$C$7,FALSE)</f>
        <v xml:space="preserve">0 - Vastaus puuttuu </v>
      </c>
      <c r="P49" s="902" t="str">
        <f>IF(VLOOKUP($C$3&amp;"-"&amp;$D49,Import!$C:$H,3,FALSE)=0,"",VLOOKUP($C$3&amp;"-"&amp;$D49,Import!$C:$H,3,FALSE))</f>
        <v/>
      </c>
      <c r="Q49" s="902" t="str">
        <f>IF(VLOOKUP($C$3&amp;"-"&amp;$D49,Import!$C:$H,4,FALSE)=0,"",VLOOKUP($C$3&amp;"-"&amp;$D49,Import!$C:$H,4,FALSE))</f>
        <v/>
      </c>
      <c r="R49" s="902" t="str">
        <f>IF(VLOOKUP($C$3&amp;"-"&amp;$D49,Import!$C:$H,5,FALSE)=0,"",VLOOKUP($C$3&amp;"-"&amp;$D49,Import!$C:$H,5,FALSE))</f>
        <v/>
      </c>
      <c r="S49" s="903" t="str">
        <f>IF(VLOOKUP($C$3&amp;"-"&amp;$D49,Import!$C:$H,6,FALSE)=0,"",VLOOKUP($C$3&amp;"-"&amp;$D49,Import!$C:$H,6,FALSE))</f>
        <v/>
      </c>
      <c r="T49" s="154"/>
      <c r="U49" s="252"/>
    </row>
    <row r="50" spans="1:21" s="296" customFormat="1" ht="34.950000000000003" customHeight="1" x14ac:dyDescent="0.2">
      <c r="A50" s="305"/>
      <c r="B50" s="1199"/>
      <c r="C50" s="1210"/>
      <c r="D50" s="294" t="s">
        <v>25</v>
      </c>
      <c r="E50" s="468" t="str">
        <f>IF(VLOOKUP(CONCATENATE($C$3,"-",$D50),Languages!$A:$D,1,TRUE)=CONCATENATE($C$3,"-",$D50),VLOOKUP(CONCATENATE($C$3,"-",$D50),Languages!$A:$D,Summary!$C$7,TRUE),NA())</f>
        <v>PROGRAM-osion toiminnan suorittamiseen tarvittavat vastuut, tilivelvollisuudet ja valtuutukset on jalkautettu soveltuville työntekijöille.</v>
      </c>
      <c r="F50" s="287">
        <f t="shared" si="2"/>
        <v>0</v>
      </c>
      <c r="G50" s="307" t="s">
        <v>2542</v>
      </c>
      <c r="H50" s="509"/>
      <c r="I50" s="509"/>
      <c r="J50" s="509"/>
      <c r="K50" s="510"/>
      <c r="L50" s="154"/>
      <c r="M50" s="252"/>
      <c r="N50" s="149"/>
      <c r="O50" s="892" t="str">
        <f>VLOOKUP(VLOOKUP($C$3&amp;"-"&amp;$D50,Import!$C:$D,2,FALSE),Parameters!$C$18:$F$22,Summary!$C$7,FALSE)</f>
        <v xml:space="preserve">0 - Vastaus puuttuu </v>
      </c>
      <c r="P50" s="895" t="str">
        <f>IF(VLOOKUP($C$3&amp;"-"&amp;$D50,Import!$C:$H,3,FALSE)=0,"",VLOOKUP($C$3&amp;"-"&amp;$D50,Import!$C:$H,3,FALSE))</f>
        <v/>
      </c>
      <c r="Q50" s="895" t="str">
        <f>IF(VLOOKUP($C$3&amp;"-"&amp;$D50,Import!$C:$H,4,FALSE)=0,"",VLOOKUP($C$3&amp;"-"&amp;$D50,Import!$C:$H,4,FALSE))</f>
        <v/>
      </c>
      <c r="R50" s="895" t="str">
        <f>IF(VLOOKUP($C$3&amp;"-"&amp;$D50,Import!$C:$H,5,FALSE)=0,"",VLOOKUP($C$3&amp;"-"&amp;$D50,Import!$C:$H,5,FALSE))</f>
        <v/>
      </c>
      <c r="S50" s="896" t="str">
        <f>IF(VLOOKUP($C$3&amp;"-"&amp;$D50,Import!$C:$H,6,FALSE)=0,"",VLOOKUP($C$3&amp;"-"&amp;$D50,Import!$C:$H,6,FALSE))</f>
        <v/>
      </c>
      <c r="T50" s="154"/>
      <c r="U50" s="252"/>
    </row>
    <row r="51" spans="1:21" s="296" customFormat="1" ht="34.950000000000003" customHeight="1" x14ac:dyDescent="0.2">
      <c r="A51" s="305"/>
      <c r="B51" s="1199"/>
      <c r="C51" s="1210"/>
      <c r="D51" s="294" t="s">
        <v>26</v>
      </c>
      <c r="E51" s="468" t="str">
        <f>IF(VLOOKUP(CONCATENATE($C$3,"-",$D51),Languages!$A:$D,1,TRUE)=CONCATENATE($C$3,"-",$D51),VLOOKUP(CONCATENATE($C$3,"-",$D51),Languages!$A:$D,Summary!$C$7,TRUE),NA())</f>
        <v>PROGRAM-osion toimintaa suorittavilla työntekijöillä on riittävät tiedot ja taidot tehtäviensä suorittamiseen.</v>
      </c>
      <c r="F51" s="287">
        <f t="shared" si="2"/>
        <v>0</v>
      </c>
      <c r="G51" s="307" t="s">
        <v>2542</v>
      </c>
      <c r="H51" s="509"/>
      <c r="I51" s="509"/>
      <c r="J51" s="509"/>
      <c r="K51" s="510"/>
      <c r="L51" s="154"/>
      <c r="M51" s="252"/>
      <c r="N51" s="149"/>
      <c r="O51" s="892" t="str">
        <f>VLOOKUP(VLOOKUP($C$3&amp;"-"&amp;$D51,Import!$C:$D,2,FALSE),Parameters!$C$18:$F$22,Summary!$C$7,FALSE)</f>
        <v xml:space="preserve">0 - Vastaus puuttuu </v>
      </c>
      <c r="P51" s="895" t="str">
        <f>IF(VLOOKUP($C$3&amp;"-"&amp;$D51,Import!$C:$H,3,FALSE)=0,"",VLOOKUP($C$3&amp;"-"&amp;$D51,Import!$C:$H,3,FALSE))</f>
        <v/>
      </c>
      <c r="Q51" s="895" t="str">
        <f>IF(VLOOKUP($C$3&amp;"-"&amp;$D51,Import!$C:$H,4,FALSE)=0,"",VLOOKUP($C$3&amp;"-"&amp;$D51,Import!$C:$H,4,FALSE))</f>
        <v/>
      </c>
      <c r="R51" s="895" t="str">
        <f>IF(VLOOKUP($C$3&amp;"-"&amp;$D51,Import!$C:$H,5,FALSE)=0,"",VLOOKUP($C$3&amp;"-"&amp;$D51,Import!$C:$H,5,FALSE))</f>
        <v/>
      </c>
      <c r="S51" s="896" t="str">
        <f>IF(VLOOKUP($C$3&amp;"-"&amp;$D51,Import!$C:$H,6,FALSE)=0,"",VLOOKUP($C$3&amp;"-"&amp;$D51,Import!$C:$H,6,FALSE))</f>
        <v/>
      </c>
      <c r="T51" s="154"/>
      <c r="U51" s="252"/>
    </row>
    <row r="52" spans="1:21" s="296" customFormat="1" ht="34.950000000000003" customHeight="1" x14ac:dyDescent="0.2">
      <c r="A52" s="305"/>
      <c r="B52" s="384"/>
      <c r="C52" s="1211"/>
      <c r="D52" s="396" t="s">
        <v>27</v>
      </c>
      <c r="E52" s="474" t="str">
        <f>IF(VLOOKUP(CONCATENATE($C$3,"-",$D52),Languages!$A:$D,1,TRUE)=CONCATENATE($C$3,"-",$D52),VLOOKUP(CONCATENATE($C$3,"-",$D52),Languages!$A:$D,Summary!$C$7,TRUE),NA())</f>
        <v>PROGRAM-osion toiminnan vaikuttavuutta arvioidaan ja seurataan.</v>
      </c>
      <c r="F52" s="393">
        <f t="shared" si="2"/>
        <v>0</v>
      </c>
      <c r="G52" s="449" t="s">
        <v>2542</v>
      </c>
      <c r="H52" s="511"/>
      <c r="I52" s="511"/>
      <c r="J52" s="511"/>
      <c r="K52" s="512"/>
      <c r="L52" s="154"/>
      <c r="M52" s="252"/>
      <c r="N52" s="149"/>
      <c r="O52" s="897" t="str">
        <f>VLOOKUP(VLOOKUP($C$3&amp;"-"&amp;$D52,Import!$C:$D,2,FALSE),Parameters!$C$18:$F$22,Summary!$C$7,FALSE)</f>
        <v xml:space="preserve">0 - Vastaus puuttuu </v>
      </c>
      <c r="P52" s="898" t="str">
        <f>IF(VLOOKUP($C$3&amp;"-"&amp;$D52,Import!$C:$H,3,FALSE)=0,"",VLOOKUP($C$3&amp;"-"&amp;$D52,Import!$C:$H,3,FALSE))</f>
        <v/>
      </c>
      <c r="Q52" s="898" t="str">
        <f>IF(VLOOKUP($C$3&amp;"-"&amp;$D52,Import!$C:$H,4,FALSE)=0,"",VLOOKUP($C$3&amp;"-"&amp;$D52,Import!$C:$H,4,FALSE))</f>
        <v/>
      </c>
      <c r="R52" s="898" t="str">
        <f>IF(VLOOKUP($C$3&amp;"-"&amp;$D52,Import!$C:$H,5,FALSE)=0,"",VLOOKUP($C$3&amp;"-"&amp;$D52,Import!$C:$H,5,FALSE))</f>
        <v/>
      </c>
      <c r="S52" s="899" t="str">
        <f>IF(VLOOKUP($C$3&amp;"-"&amp;$D52,Import!$C:$H,6,FALSE)=0,"",VLOOKUP($C$3&amp;"-"&amp;$D52,Import!$C:$H,6,FALSE))</f>
        <v/>
      </c>
      <c r="T52" s="154"/>
      <c r="U52" s="252"/>
    </row>
    <row r="53" spans="1:21" x14ac:dyDescent="0.2">
      <c r="A53" s="181"/>
      <c r="B53" s="329"/>
      <c r="C53" s="330"/>
      <c r="D53" s="331"/>
      <c r="E53" s="332"/>
      <c r="F53" s="333"/>
      <c r="G53" s="334"/>
      <c r="H53" s="332"/>
      <c r="I53" s="332"/>
      <c r="J53" s="332"/>
      <c r="K53" s="332"/>
      <c r="L53" s="154"/>
      <c r="M53" s="252"/>
      <c r="N53" s="149"/>
      <c r="O53" s="334"/>
      <c r="P53" s="332"/>
      <c r="Q53" s="332"/>
      <c r="R53" s="332"/>
      <c r="S53" s="332"/>
      <c r="T53" s="154"/>
      <c r="U53" s="252"/>
    </row>
    <row r="54" spans="1:21" x14ac:dyDescent="0.25">
      <c r="A54" s="181"/>
      <c r="B54" s="181"/>
      <c r="C54" s="181"/>
      <c r="D54" s="181"/>
      <c r="E54" s="181"/>
      <c r="F54" s="336"/>
      <c r="G54" s="181"/>
      <c r="H54" s="346"/>
      <c r="I54" s="346"/>
      <c r="J54" s="346"/>
      <c r="K54" s="346"/>
      <c r="L54" s="476"/>
      <c r="M54" s="342"/>
      <c r="N54" s="476"/>
      <c r="O54" s="181"/>
      <c r="P54" s="346"/>
      <c r="Q54" s="346"/>
      <c r="R54" s="346"/>
      <c r="S54" s="346"/>
      <c r="T54" s="476"/>
      <c r="U54" s="342"/>
    </row>
  </sheetData>
  <sheetProtection sheet="1" formatCells="0" formatColumns="0" formatRows="0"/>
  <mergeCells count="32">
    <mergeCell ref="S15:S16"/>
    <mergeCell ref="O17:O18"/>
    <mergeCell ref="P17:P18"/>
    <mergeCell ref="Q17:Q18"/>
    <mergeCell ref="R17:R18"/>
    <mergeCell ref="S17:S18"/>
    <mergeCell ref="C17:K17"/>
    <mergeCell ref="O3:S11"/>
    <mergeCell ref="O13:O14"/>
    <mergeCell ref="P13:P14"/>
    <mergeCell ref="Q13:Q14"/>
    <mergeCell ref="R13:R14"/>
    <mergeCell ref="S13:S14"/>
    <mergeCell ref="O15:O16"/>
    <mergeCell ref="P15:P16"/>
    <mergeCell ref="Q15:Q16"/>
    <mergeCell ref="I10:J11"/>
    <mergeCell ref="C6:K6"/>
    <mergeCell ref="C13:K13"/>
    <mergeCell ref="I8:J8"/>
    <mergeCell ref="C15:K15"/>
    <mergeCell ref="R15:R16"/>
    <mergeCell ref="B47:B51"/>
    <mergeCell ref="C47:C48"/>
    <mergeCell ref="C49:C52"/>
    <mergeCell ref="B24:B25"/>
    <mergeCell ref="B26:B29"/>
    <mergeCell ref="B34:B35"/>
    <mergeCell ref="B36:B43"/>
    <mergeCell ref="C25:C30"/>
    <mergeCell ref="C35:C39"/>
    <mergeCell ref="C40:C43"/>
  </mergeCells>
  <conditionalFormatting sqref="F4:F5 F7:F12 F24:F32 F46:F1048576 F34:F44">
    <cfRule type="containsText" dxfId="102" priority="21" operator="containsText" text="0">
      <formula>NOT(ISERROR(SEARCH("0",F4)))</formula>
    </cfRule>
  </conditionalFormatting>
  <conditionalFormatting sqref="F1 F3">
    <cfRule type="containsText" dxfId="101" priority="14" operator="containsText" text="0">
      <formula>NOT(ISERROR(SEARCH("0",F1)))</formula>
    </cfRule>
  </conditionalFormatting>
  <conditionalFormatting sqref="F2">
    <cfRule type="containsText" dxfId="100" priority="13" operator="containsText" text="0">
      <formula>NOT(ISERROR(SEARCH("0",F2)))</formula>
    </cfRule>
  </conditionalFormatting>
  <conditionalFormatting sqref="F45">
    <cfRule type="containsText" dxfId="99" priority="11" operator="containsText" text="0">
      <formula>NOT(ISERROR(SEARCH("0",F45)))</formula>
    </cfRule>
  </conditionalFormatting>
  <conditionalFormatting sqref="F33">
    <cfRule type="containsText" dxfId="98" priority="9" operator="containsText" text="0">
      <formula>NOT(ISERROR(SEARCH("0",F33)))</formula>
    </cfRule>
  </conditionalFormatting>
  <conditionalFormatting sqref="F23">
    <cfRule type="containsText" dxfId="97" priority="7" operator="containsText" text="0">
      <formula>NOT(ISERROR(SEARCH("0",F23)))</formula>
    </cfRule>
  </conditionalFormatting>
  <conditionalFormatting sqref="F14">
    <cfRule type="containsText" dxfId="96" priority="6" operator="containsText" text="0">
      <formula>NOT(ISERROR(SEARCH("0",F14)))</formula>
    </cfRule>
  </conditionalFormatting>
  <conditionalFormatting sqref="F16">
    <cfRule type="containsText" dxfId="95" priority="4" operator="containsText" text="0">
      <formula>NOT(ISERROR(SEARCH("0",F16)))</formula>
    </cfRule>
  </conditionalFormatting>
  <conditionalFormatting sqref="F22">
    <cfRule type="containsText" dxfId="94" priority="2" operator="containsText" text="0">
      <formula>NOT(ISERROR(SEARCH("0",F22)))</formula>
    </cfRule>
  </conditionalFormatting>
  <pageMargins left="0.7" right="0.7" top="0.75" bottom="0.75" header="0.3" footer="0.3"/>
  <pageSetup paperSize="9" scale="42" orientation="portrait" r:id="rId1"/>
  <rowBreaks count="1" manualBreakCount="1">
    <brk id="43" max="16383" man="1"/>
  </rowBreaks>
  <colBreaks count="1" manualBreakCount="1">
    <brk id="13" max="1048575" man="1"/>
  </colBreaks>
  <ignoredErrors>
    <ignoredError sqref="O31 O52 O24 O25 O26 O27 O28 O29 O30 O34 O35 O36 O37 O38 O39 O40 O41 O42 O43 O47 O48 O49 O50 O51 Q24:S24 P34:S43 P47:S52 P26:S31 Q25:S25"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645A96C2-A06B-4213-9C4F-BB287D7E49C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xm:sqref>
        </x14:conditionalFormatting>
        <x14:conditionalFormatting xmlns:xm="http://schemas.microsoft.com/office/excel/2006/main">
          <x14:cfRule type="iconSet" priority="20" id="{68D6A089-3EC8-41EC-8795-097A48DF224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F46:F1048576 F34:F44 F24:F32 F4:F5 F7:F12</xm:sqref>
        </x14:conditionalFormatting>
        <x14:conditionalFormatting xmlns:xm="http://schemas.microsoft.com/office/excel/2006/main">
          <x14:cfRule type="iconSet" priority="15" id="{7D421109-AC3F-4723-AAA6-EACF110AAB6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16481E60-FF53-462C-9487-687A8675B05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339F107D-30A1-4A3B-99AF-2B9A921BCF6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xm:sqref>
        </x14:conditionalFormatting>
        <x14:conditionalFormatting xmlns:xm="http://schemas.microsoft.com/office/excel/2006/main">
          <x14:cfRule type="iconSet" priority="10" id="{725711AF-B9DE-4329-BE2B-01F7663EF06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F33</xm:sqref>
        </x14:conditionalFormatting>
        <x14:conditionalFormatting xmlns:xm="http://schemas.microsoft.com/office/excel/2006/main">
          <x14:cfRule type="iconSet" priority="8" id="{7D1E4395-50CA-4677-8586-EA15CDA17F0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5" id="{BC4E3019-80EA-4C93-A3A1-D9D3342E542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3" id="{F4563950-1840-4278-BFC9-E69BBC37929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1" id="{8A2A3780-CBD5-4DBB-A21D-221FBF4B319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Parameters!$B$18:$B$22</xm:f>
          </x14:formula1>
          <xm:sqref>G24:G31 G34:G43 G47:G52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2" tint="0.59999389629810485"/>
  </sheetPr>
  <dimension ref="A1:P22"/>
  <sheetViews>
    <sheetView showGridLines="0" zoomScaleNormal="100" workbookViewId="0">
      <selection activeCell="C9" sqref="C9:E9"/>
    </sheetView>
  </sheetViews>
  <sheetFormatPr defaultColWidth="9.26953125" defaultRowHeight="11.4" x14ac:dyDescent="0.25"/>
  <cols>
    <col min="1" max="2" width="1.6328125" style="140" customWidth="1"/>
    <col min="3" max="3" width="2.6328125" style="140" customWidth="1"/>
    <col min="4" max="4" width="2.6328125" style="300" customWidth="1"/>
    <col min="5" max="5" width="40.6328125" style="300" customWidth="1"/>
    <col min="6" max="8" width="12.6328125" style="138" customWidth="1"/>
    <col min="9" max="9" width="13.1796875" style="138" customWidth="1"/>
    <col min="10" max="10" width="12.6328125" style="365" customWidth="1"/>
    <col min="11" max="12" width="12.6328125" style="138" customWidth="1"/>
    <col min="13" max="13" width="1.6328125" style="140" customWidth="1"/>
    <col min="14" max="14" width="1.6328125" style="303" customWidth="1"/>
    <col min="15" max="16" width="9.08984375" style="138" customWidth="1"/>
    <col min="17" max="17" width="9.08984375" style="140" customWidth="1"/>
    <col min="18" max="16384" width="9.26953125" style="140"/>
  </cols>
  <sheetData>
    <row r="1" spans="1:16" x14ac:dyDescent="0.25">
      <c r="A1" s="135"/>
      <c r="B1" s="135"/>
      <c r="C1" s="135"/>
      <c r="D1" s="135"/>
      <c r="E1" s="135"/>
      <c r="F1" s="135"/>
      <c r="G1" s="135"/>
      <c r="H1" s="135"/>
      <c r="I1" s="135"/>
      <c r="J1" s="135"/>
      <c r="K1" s="135"/>
      <c r="L1" s="135"/>
      <c r="M1" s="135"/>
      <c r="N1" s="135"/>
    </row>
    <row r="2" spans="1:16" s="257" customFormat="1" ht="25.05" customHeight="1" x14ac:dyDescent="0.2">
      <c r="A2" s="252"/>
      <c r="B2" s="142"/>
      <c r="C2" s="347" t="s">
        <v>672</v>
      </c>
      <c r="D2" s="145"/>
      <c r="E2" s="145"/>
      <c r="F2" s="255"/>
      <c r="G2" s="145"/>
      <c r="H2" s="145"/>
      <c r="I2" s="145"/>
      <c r="J2" s="145"/>
      <c r="K2" s="145"/>
      <c r="L2" s="145"/>
      <c r="M2" s="147"/>
      <c r="N2" s="252"/>
      <c r="O2" s="256"/>
      <c r="P2" s="256"/>
    </row>
    <row r="3" spans="1:16" ht="25.05" customHeight="1" x14ac:dyDescent="0.3">
      <c r="A3" s="135"/>
      <c r="B3" s="157"/>
      <c r="C3" s="155" t="str">
        <f>IF(VLOOKUP($C$2,Languages!$A:$D,1,TRUE)=$C$2,VLOOKUP($C$2,Languages!$A:$D,Summary!$C$7,TRUE),NA())</f>
        <v>Kyberturvallisuuden investointien taso</v>
      </c>
      <c r="D3" s="258"/>
      <c r="E3" s="258"/>
      <c r="F3" s="348"/>
      <c r="G3" s="322"/>
      <c r="H3" s="349"/>
      <c r="I3" s="322"/>
      <c r="J3" s="322"/>
      <c r="K3" s="322"/>
      <c r="L3" s="322"/>
      <c r="M3" s="161"/>
      <c r="N3" s="135"/>
    </row>
    <row r="4" spans="1:16" ht="10.050000000000001" customHeight="1" x14ac:dyDescent="0.25">
      <c r="A4" s="135"/>
      <c r="B4" s="157"/>
      <c r="C4" s="263"/>
      <c r="D4" s="159"/>
      <c r="E4" s="159"/>
      <c r="F4" s="159"/>
      <c r="G4" s="159"/>
      <c r="H4" s="159"/>
      <c r="I4" s="159"/>
      <c r="J4" s="159"/>
      <c r="K4" s="159"/>
      <c r="L4" s="262"/>
      <c r="M4" s="161"/>
      <c r="N4" s="135"/>
    </row>
    <row r="5" spans="1:16" ht="79.95" customHeight="1" x14ac:dyDescent="0.25">
      <c r="A5" s="135"/>
      <c r="B5" s="157"/>
      <c r="C5" s="1248" t="str">
        <f>IF(VLOOKUP("INVEST-02",Languages!$A:$D,1,TRUE)="INVEST-02",VLOOKUP("INVEST-02",Languages!$A:$D,Summary!$C$7,TRUE),NA())</f>
        <v>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v>
      </c>
      <c r="D5" s="1248"/>
      <c r="E5" s="1248"/>
      <c r="F5" s="1248"/>
      <c r="G5" s="1248"/>
      <c r="H5" s="1248"/>
      <c r="I5" s="1248"/>
      <c r="J5" s="1248"/>
      <c r="K5" s="1248"/>
      <c r="L5" s="1248"/>
      <c r="M5" s="161"/>
      <c r="N5" s="135"/>
    </row>
    <row r="6" spans="1:16" s="177" customFormat="1" ht="4.95" customHeight="1" thickBot="1" x14ac:dyDescent="0.35">
      <c r="A6" s="166"/>
      <c r="B6" s="269"/>
      <c r="C6" s="350"/>
      <c r="D6" s="350"/>
      <c r="E6" s="350"/>
      <c r="F6" s="351"/>
      <c r="G6" s="352"/>
      <c r="H6" s="352"/>
      <c r="I6" s="352"/>
      <c r="J6" s="353"/>
      <c r="K6" s="353"/>
      <c r="L6" s="352"/>
      <c r="M6" s="273"/>
      <c r="N6" s="274"/>
      <c r="O6" s="175"/>
      <c r="P6" s="175"/>
    </row>
    <row r="7" spans="1:16" s="177" customFormat="1" ht="30" customHeight="1" x14ac:dyDescent="0.25">
      <c r="A7" s="166"/>
      <c r="B7" s="269"/>
      <c r="C7" s="1255" t="str">
        <f>IF(VLOOKUP("INVEST-03",Languages!$A:$D,1,TRUE)="INVEST-03",VLOOKUP("INVEST-03",Languages!$A:$D,Summary!$C$7,TRUE),NA())</f>
        <v>Kategoria</v>
      </c>
      <c r="D7" s="1255"/>
      <c r="E7" s="1255"/>
      <c r="F7" s="354" t="str">
        <f>IF(VLOOKUP("INVEST-04",Languages!$A:$D,1,TRUE)="INVEST-04",VLOOKUP("INVEST-04",Languages!$A:$D,Summary!$C$7,TRUE),NA())</f>
        <v>Henkilöstö (sisäinen)</v>
      </c>
      <c r="G7" s="354" t="str">
        <f>IF(VLOOKUP("INVEST-05",Languages!$A:$D,1,TRUE)="INVEST-05",VLOOKUP("INVEST-05",Languages!$A:$D,Summary!$C$7,TRUE),NA())</f>
        <v>Konsultointi</v>
      </c>
      <c r="H7" s="354" t="str">
        <f>IF(VLOOKUP("INVEST-06",Languages!$A:$D,1,TRUE)="INVEST-06",VLOOKUP("INVEST-06",Languages!$A:$D,Summary!$C$7,TRUE),NA())</f>
        <v>Palvelut</v>
      </c>
      <c r="I7" s="354" t="str">
        <f>IF(VLOOKUP("INVEST-07",Languages!$A:$D,1,TRUE)="INVEST-07",VLOOKUP("INVEST-07",Languages!$A:$D,Summary!$C$7,TRUE),NA())</f>
        <v>Ohjelmisto-lisenssit</v>
      </c>
      <c r="J7" s="354" t="str">
        <f>IF(VLOOKUP("INVEST-08",Languages!$A:$D,1,TRUE)="INVEST-08",VLOOKUP("INVEST-08",Languages!$A:$D,Summary!$C$7,TRUE),NA())</f>
        <v>Laite-investoinnit</v>
      </c>
      <c r="K7" s="282" t="str">
        <f>IF(VLOOKUP("INVEST-09",Languages!$A:$D,1,TRUE)="INVEST-09",VLOOKUP("INVEST-09",Languages!$A:$D,Summary!$C$7,TRUE),NA())</f>
        <v>Yhteensä</v>
      </c>
      <c r="L7" s="355" t="str">
        <f>IF(VLOOKUP("INVEST-10",Languages!$A:$D,1,TRUE)="INVEST-10",VLOOKUP("INVEST-10",Languages!$A:$D,Summary!$C$7,TRUE),NA())</f>
        <v>Suunniteltu</v>
      </c>
      <c r="M7" s="273"/>
      <c r="N7" s="274"/>
      <c r="O7" s="175"/>
      <c r="P7" s="175"/>
    </row>
    <row r="8" spans="1:16" s="177" customFormat="1" ht="30" customHeight="1" x14ac:dyDescent="0.25">
      <c r="A8" s="166"/>
      <c r="B8" s="356" t="s">
        <v>56</v>
      </c>
      <c r="C8" s="1256" t="str">
        <f>IF(VLOOKUP($B8,Languages!$A:$D,1,TRUE)=$B8,VLOOKUP($B8,Languages!$A:$D,Summary!$C$7,TRUE),NA())</f>
        <v>Kriittisten palveluiden suojaaminen (CRITICAL)</v>
      </c>
      <c r="D8" s="1257"/>
      <c r="E8" s="1257"/>
      <c r="F8" s="533"/>
      <c r="G8" s="533"/>
      <c r="H8" s="533"/>
      <c r="I8" s="533"/>
      <c r="J8" s="533"/>
      <c r="K8" s="358">
        <f>SUM(F8:J8)</f>
        <v>0</v>
      </c>
      <c r="L8" s="534"/>
      <c r="M8" s="273"/>
      <c r="N8" s="274"/>
      <c r="O8" s="175"/>
      <c r="P8" s="175"/>
    </row>
    <row r="9" spans="1:16" s="177" customFormat="1" ht="30" customHeight="1" x14ac:dyDescent="0.25">
      <c r="A9" s="166"/>
      <c r="B9" s="356" t="s">
        <v>48</v>
      </c>
      <c r="C9" s="1251" t="str">
        <f>IF(VLOOKUP($B9,Languages!$A:$D,1,TRUE)=$B9,VLOOKUP($B9,Languages!$A:$D,Summary!$C$7,TRUE),NA())</f>
        <v>Omaisuuden, muutosten ja konfiguraation hallinta (ASSET)</v>
      </c>
      <c r="D9" s="1252"/>
      <c r="E9" s="1252"/>
      <c r="F9" s="535"/>
      <c r="G9" s="535"/>
      <c r="H9" s="535"/>
      <c r="I9" s="535"/>
      <c r="J9" s="535"/>
      <c r="K9" s="357">
        <f t="shared" ref="K9:K18" si="0">SUM(F9:J9)</f>
        <v>0</v>
      </c>
      <c r="L9" s="536"/>
      <c r="M9" s="273"/>
      <c r="N9" s="274"/>
      <c r="O9" s="175"/>
      <c r="P9" s="175"/>
    </row>
    <row r="10" spans="1:16" s="177" customFormat="1" ht="30" customHeight="1" x14ac:dyDescent="0.25">
      <c r="A10" s="166"/>
      <c r="B10" s="356" t="s">
        <v>64</v>
      </c>
      <c r="C10" s="1251" t="str">
        <f>IF(VLOOKUP($B10,Languages!$A:$D,1,TRUE)=$B10,VLOOKUP($B10,Languages!$A:$D,Summary!$C$7,TRUE),NA())</f>
        <v>Uhkien ja haavoittuvuuksien hallinta (THREAT)</v>
      </c>
      <c r="D10" s="1252"/>
      <c r="E10" s="1252"/>
      <c r="F10" s="537"/>
      <c r="G10" s="537"/>
      <c r="H10" s="537"/>
      <c r="I10" s="537"/>
      <c r="J10" s="537"/>
      <c r="K10" s="357">
        <f t="shared" si="0"/>
        <v>0</v>
      </c>
      <c r="L10" s="538"/>
      <c r="M10" s="273"/>
      <c r="N10" s="274"/>
      <c r="O10" s="175"/>
      <c r="P10" s="175"/>
    </row>
    <row r="11" spans="1:16" s="177" customFormat="1" ht="30" customHeight="1" x14ac:dyDescent="0.25">
      <c r="A11" s="166"/>
      <c r="B11" s="356" t="s">
        <v>0</v>
      </c>
      <c r="C11" s="1251" t="str">
        <f>IF(VLOOKUP($B11,Languages!$A:$D,1,TRUE)=$B11,VLOOKUP($B11,Languages!$A:$D,Summary!$C$7,TRUE),NA())</f>
        <v>Riskienhallinta (RISK)</v>
      </c>
      <c r="D11" s="1252"/>
      <c r="E11" s="1252"/>
      <c r="F11" s="537"/>
      <c r="G11" s="537"/>
      <c r="H11" s="537"/>
      <c r="I11" s="537"/>
      <c r="J11" s="537"/>
      <c r="K11" s="357">
        <f t="shared" si="0"/>
        <v>0</v>
      </c>
      <c r="L11" s="538"/>
      <c r="M11" s="273"/>
      <c r="N11" s="274"/>
      <c r="O11" s="175"/>
      <c r="P11" s="175"/>
    </row>
    <row r="12" spans="1:16" s="177" customFormat="1" ht="30" customHeight="1" x14ac:dyDescent="0.25">
      <c r="A12" s="166"/>
      <c r="B12" s="356" t="s">
        <v>59</v>
      </c>
      <c r="C12" s="1251" t="str">
        <f>IF(VLOOKUP($B12,Languages!$A:$D,1,TRUE)=$B12,VLOOKUP($B12,Languages!$A:$D,Summary!$C$7,TRUE),NA())</f>
        <v>Identiteetin- ja pääsynhallinta (ACCESS)</v>
      </c>
      <c r="D12" s="1252"/>
      <c r="E12" s="1252"/>
      <c r="F12" s="537"/>
      <c r="G12" s="537"/>
      <c r="H12" s="537"/>
      <c r="I12" s="537"/>
      <c r="J12" s="537"/>
      <c r="K12" s="357">
        <f t="shared" si="0"/>
        <v>0</v>
      </c>
      <c r="L12" s="538"/>
      <c r="M12" s="273"/>
      <c r="N12" s="274"/>
      <c r="O12" s="175"/>
      <c r="P12" s="175"/>
    </row>
    <row r="13" spans="1:16" s="177" customFormat="1" ht="30" customHeight="1" x14ac:dyDescent="0.25">
      <c r="A13" s="166"/>
      <c r="B13" s="356" t="s">
        <v>67</v>
      </c>
      <c r="C13" s="1251" t="str">
        <f>IF(VLOOKUP($B13,Languages!$A:$D,1,TRUE)=$B13,VLOOKUP($B13,Languages!$A:$D,Summary!$C$7,TRUE),NA())</f>
        <v>Tilannekuva (SITUATION)</v>
      </c>
      <c r="D13" s="1252"/>
      <c r="E13" s="1252"/>
      <c r="F13" s="537"/>
      <c r="G13" s="537"/>
      <c r="H13" s="537"/>
      <c r="I13" s="537"/>
      <c r="J13" s="537"/>
      <c r="K13" s="357">
        <f t="shared" si="0"/>
        <v>0</v>
      </c>
      <c r="L13" s="538"/>
      <c r="M13" s="273"/>
      <c r="N13" s="274"/>
      <c r="O13" s="175"/>
      <c r="P13" s="175"/>
    </row>
    <row r="14" spans="1:16" s="177" customFormat="1" ht="30" customHeight="1" x14ac:dyDescent="0.25">
      <c r="A14" s="166"/>
      <c r="B14" s="356" t="s">
        <v>69</v>
      </c>
      <c r="C14" s="1251" t="str">
        <f>IF(VLOOKUP($B14,Languages!$A:$D,1,TRUE)=$B14,VLOOKUP($B14,Languages!$A:$D,Summary!$C$7,TRUE),NA())</f>
        <v>Tapahtumien ja häiriöiden hallinta, toiminnan jatkuvuus (RESPONSE)</v>
      </c>
      <c r="D14" s="1252"/>
      <c r="E14" s="1252"/>
      <c r="F14" s="537"/>
      <c r="G14" s="537"/>
      <c r="H14" s="537"/>
      <c r="I14" s="537"/>
      <c r="J14" s="537"/>
      <c r="K14" s="357">
        <f t="shared" si="0"/>
        <v>0</v>
      </c>
      <c r="L14" s="538"/>
      <c r="M14" s="273"/>
      <c r="N14" s="274"/>
      <c r="O14" s="175"/>
      <c r="P14" s="175"/>
    </row>
    <row r="15" spans="1:16" s="177" customFormat="1" ht="30" customHeight="1" x14ac:dyDescent="0.25">
      <c r="A15" s="166"/>
      <c r="B15" s="356" t="s">
        <v>2619</v>
      </c>
      <c r="C15" s="1251" t="str">
        <f>IF(VLOOKUP($B15,Languages!$A:$D,1,TRUE)=$B15,VLOOKUP($B15,Languages!$A:$D,Summary!$C$7,TRUE),NA())</f>
        <v>Kumppaniverkoston riskien hallinta (THIRD-PARTIES)</v>
      </c>
      <c r="D15" s="1252"/>
      <c r="E15" s="1252"/>
      <c r="F15" s="537"/>
      <c r="G15" s="537"/>
      <c r="H15" s="537"/>
      <c r="I15" s="537"/>
      <c r="J15" s="537"/>
      <c r="K15" s="357">
        <f t="shared" si="0"/>
        <v>0</v>
      </c>
      <c r="L15" s="538"/>
      <c r="M15" s="273"/>
      <c r="N15" s="274"/>
      <c r="O15" s="175"/>
      <c r="P15" s="175"/>
    </row>
    <row r="16" spans="1:16" s="177" customFormat="1" ht="30" customHeight="1" x14ac:dyDescent="0.25">
      <c r="A16" s="166"/>
      <c r="B16" s="356" t="s">
        <v>74</v>
      </c>
      <c r="C16" s="1251" t="str">
        <f>IF(VLOOKUP($B16,Languages!$A:$D,1,TRUE)=$B16,VLOOKUP($B16,Languages!$A:$D,Summary!$C$7,TRUE),NA())</f>
        <v>Henkilöstön johtaminen ja kehittäminen (WORKFORCE)</v>
      </c>
      <c r="D16" s="1252"/>
      <c r="E16" s="1252"/>
      <c r="F16" s="537"/>
      <c r="G16" s="537"/>
      <c r="H16" s="537"/>
      <c r="I16" s="537"/>
      <c r="J16" s="537"/>
      <c r="K16" s="357">
        <f t="shared" si="0"/>
        <v>0</v>
      </c>
      <c r="L16" s="538"/>
      <c r="M16" s="273"/>
      <c r="N16" s="274"/>
      <c r="O16" s="175"/>
      <c r="P16" s="175"/>
    </row>
    <row r="17" spans="1:16" s="177" customFormat="1" ht="30" customHeight="1" x14ac:dyDescent="0.25">
      <c r="A17" s="166"/>
      <c r="B17" s="356" t="s">
        <v>77</v>
      </c>
      <c r="C17" s="1251" t="str">
        <f>IF(VLOOKUP($B17,Languages!$A:$D,1,TRUE)=$B17,VLOOKUP($B17,Languages!$A:$D,Summary!$C$7,TRUE),NA())</f>
        <v>Kyberturvallisuusarkkitehtuuri (ARCHITECTURE)</v>
      </c>
      <c r="D17" s="1252"/>
      <c r="E17" s="1252"/>
      <c r="F17" s="537"/>
      <c r="G17" s="537"/>
      <c r="H17" s="537"/>
      <c r="I17" s="537"/>
      <c r="J17" s="537"/>
      <c r="K17" s="357">
        <f t="shared" si="0"/>
        <v>0</v>
      </c>
      <c r="L17" s="538"/>
      <c r="M17" s="273"/>
      <c r="N17" s="274"/>
      <c r="O17" s="175"/>
      <c r="P17" s="175"/>
    </row>
    <row r="18" spans="1:16" s="177" customFormat="1" ht="30" customHeight="1" x14ac:dyDescent="0.25">
      <c r="A18" s="166"/>
      <c r="B18" s="356" t="s">
        <v>79</v>
      </c>
      <c r="C18" s="1253" t="str">
        <f>IF(VLOOKUP($B18,Languages!$A:$D,1,TRUE)=$B18,VLOOKUP($B18,Languages!$A:$D,Summary!$C$7,TRUE),NA())</f>
        <v>Kyberturvallisuuden hallinta (PROGRAM)</v>
      </c>
      <c r="D18" s="1254"/>
      <c r="E18" s="1254"/>
      <c r="F18" s="539"/>
      <c r="G18" s="539"/>
      <c r="H18" s="539"/>
      <c r="I18" s="539"/>
      <c r="J18" s="539"/>
      <c r="K18" s="532">
        <f t="shared" si="0"/>
        <v>0</v>
      </c>
      <c r="L18" s="540"/>
      <c r="M18" s="273"/>
      <c r="N18" s="274"/>
      <c r="O18" s="175"/>
      <c r="P18" s="175"/>
    </row>
    <row r="19" spans="1:16" s="177" customFormat="1" ht="30" customHeight="1" x14ac:dyDescent="0.25">
      <c r="A19" s="166"/>
      <c r="B19" s="356"/>
      <c r="C19" s="1249" t="str">
        <f>IF(VLOOKUP("INVEST-11",Languages!$A:$D,1,TRUE)="INVEST-11",VLOOKUP("INVEST-11",Languages!$A:$D,Summary!$C$7,TRUE),NA())</f>
        <v>Yhteensä (x 1 000 €)</v>
      </c>
      <c r="D19" s="1249"/>
      <c r="E19" s="1250"/>
      <c r="F19" s="358">
        <f t="shared" ref="F19:L19" si="1">SUM(F8:F18)</f>
        <v>0</v>
      </c>
      <c r="G19" s="358">
        <f t="shared" si="1"/>
        <v>0</v>
      </c>
      <c r="H19" s="358">
        <f t="shared" si="1"/>
        <v>0</v>
      </c>
      <c r="I19" s="358">
        <f t="shared" si="1"/>
        <v>0</v>
      </c>
      <c r="J19" s="358">
        <f t="shared" si="1"/>
        <v>0</v>
      </c>
      <c r="K19" s="358">
        <f t="shared" si="1"/>
        <v>0</v>
      </c>
      <c r="L19" s="358">
        <f t="shared" si="1"/>
        <v>0</v>
      </c>
      <c r="M19" s="273"/>
      <c r="N19" s="274"/>
      <c r="O19" s="175"/>
      <c r="P19" s="175"/>
    </row>
    <row r="20" spans="1:16" s="177" customFormat="1" ht="30" customHeight="1" x14ac:dyDescent="0.3">
      <c r="A20" s="166"/>
      <c r="B20" s="269"/>
      <c r="C20" s="359"/>
      <c r="D20" s="360"/>
      <c r="E20" s="360"/>
      <c r="F20" s="324"/>
      <c r="G20" s="361"/>
      <c r="H20" s="361"/>
      <c r="I20" s="361"/>
      <c r="J20" s="362"/>
      <c r="K20" s="362"/>
      <c r="L20" s="361"/>
      <c r="M20" s="273"/>
      <c r="N20" s="274"/>
      <c r="O20" s="175"/>
      <c r="P20" s="175"/>
    </row>
    <row r="21" spans="1:16" x14ac:dyDescent="0.25">
      <c r="A21" s="236"/>
      <c r="B21" s="237"/>
      <c r="C21" s="298"/>
      <c r="D21" s="238"/>
      <c r="E21" s="238"/>
      <c r="F21" s="299"/>
      <c r="G21" s="299"/>
      <c r="H21" s="299"/>
      <c r="I21" s="299"/>
      <c r="J21" s="363"/>
      <c r="K21" s="364"/>
      <c r="L21" s="299"/>
      <c r="M21" s="243"/>
      <c r="N21" s="236"/>
    </row>
    <row r="22" spans="1:16" x14ac:dyDescent="0.25">
      <c r="A22" s="236"/>
      <c r="B22" s="236"/>
      <c r="C22" s="236"/>
      <c r="D22" s="236"/>
      <c r="E22" s="236"/>
      <c r="F22" s="236"/>
      <c r="G22" s="236"/>
      <c r="H22" s="236"/>
      <c r="I22" s="236"/>
      <c r="J22" s="236"/>
      <c r="K22" s="236"/>
      <c r="L22" s="236"/>
      <c r="M22" s="236"/>
      <c r="N22" s="236"/>
    </row>
  </sheetData>
  <sheetProtection sheet="1" objects="1" scenarios="1" formatRows="0"/>
  <mergeCells count="14">
    <mergeCell ref="C5:L5"/>
    <mergeCell ref="C19:E19"/>
    <mergeCell ref="C10:E10"/>
    <mergeCell ref="C9:E9"/>
    <mergeCell ref="C11:E11"/>
    <mergeCell ref="C12:E12"/>
    <mergeCell ref="C13:E13"/>
    <mergeCell ref="C14:E14"/>
    <mergeCell ref="C15:E15"/>
    <mergeCell ref="C16:E16"/>
    <mergeCell ref="C17:E17"/>
    <mergeCell ref="C18:E18"/>
    <mergeCell ref="C7:E7"/>
    <mergeCell ref="C8:E8"/>
  </mergeCells>
  <pageMargins left="0.7" right="0.7" top="0.75" bottom="0.75" header="0.3" footer="0.3"/>
  <pageSetup paperSize="9" scale="5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3" id="{9E7226B3-1067-417A-A4CA-EACC958E7A86}">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G3</xm:sqref>
        </x14:conditionalFormatting>
        <x14:conditionalFormatting xmlns:xm="http://schemas.microsoft.com/office/excel/2006/main">
          <x14:cfRule type="iconSet" priority="2" id="{819A0D45-1B91-4729-8FFB-B5819B3F6A49}">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J3:L3</xm:sqref>
        </x14:conditionalFormatting>
        <x14:conditionalFormatting xmlns:xm="http://schemas.microsoft.com/office/excel/2006/main">
          <x14:cfRule type="iconSet" priority="1" id="{2AA324E3-BA02-40F5-939C-5D2DB0A2F2A7}">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I3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8B1"/>
  </sheetPr>
  <dimension ref="A1:S21"/>
  <sheetViews>
    <sheetView showGridLines="0" zoomScale="80" zoomScaleNormal="80" zoomScalePageLayoutView="70" workbookViewId="0"/>
  </sheetViews>
  <sheetFormatPr defaultColWidth="9.26953125" defaultRowHeight="18" customHeight="1" x14ac:dyDescent="0.25"/>
  <cols>
    <col min="1" max="2" width="1.6328125" style="5" customWidth="1"/>
    <col min="3" max="3" width="2.6328125" style="5" customWidth="1"/>
    <col min="4" max="4" width="2.6328125" style="13" customWidth="1"/>
    <col min="5" max="5" width="30.6328125" style="47" customWidth="1"/>
    <col min="6" max="6" width="1.6328125" style="5" customWidth="1"/>
    <col min="7" max="7" width="10.6328125" style="5" customWidth="1"/>
    <col min="8" max="8" width="1.6328125" style="5" customWidth="1"/>
    <col min="9" max="9" width="65.6328125" style="5" customWidth="1"/>
    <col min="10" max="11" width="2.6328125" style="5" customWidth="1"/>
    <col min="12" max="12" width="1.6328125" style="5" customWidth="1"/>
    <col min="13" max="13" width="1.6328125" style="13" customWidth="1"/>
    <col min="14" max="14" width="2.6328125" style="46" customWidth="1"/>
    <col min="15" max="15" width="1.6328125" style="77" customWidth="1"/>
    <col min="16" max="16" width="80.6328125" style="77" customWidth="1"/>
    <col min="17" max="17" width="1.6328125" style="77" customWidth="1"/>
    <col min="18" max="16384" width="9.26953125" style="5"/>
  </cols>
  <sheetData>
    <row r="1" spans="1:19" ht="13.5" customHeight="1" x14ac:dyDescent="0.25">
      <c r="A1" s="3"/>
      <c r="B1" s="3"/>
      <c r="C1" s="3"/>
      <c r="D1" s="4"/>
      <c r="E1" s="4"/>
      <c r="F1" s="3"/>
      <c r="G1" s="3"/>
      <c r="H1" s="3"/>
      <c r="I1" s="3"/>
      <c r="J1" s="3"/>
      <c r="K1" s="3"/>
      <c r="L1" s="3"/>
      <c r="M1" s="3"/>
      <c r="N1" s="43"/>
      <c r="O1" s="3"/>
      <c r="P1" s="3"/>
      <c r="Q1" s="3"/>
    </row>
    <row r="2" spans="1:19" s="9" customFormat="1" ht="18" customHeight="1" x14ac:dyDescent="0.25">
      <c r="A2" s="6"/>
      <c r="B2" s="7"/>
      <c r="C2" s="35"/>
      <c r="D2" s="35"/>
      <c r="E2" s="49"/>
      <c r="F2" s="35"/>
      <c r="G2" s="35"/>
      <c r="H2" s="35"/>
      <c r="I2" s="35"/>
      <c r="J2" s="35"/>
      <c r="K2" s="35"/>
      <c r="L2" s="8"/>
      <c r="M2" s="6"/>
      <c r="N2" s="44"/>
      <c r="O2" s="6"/>
      <c r="P2" s="829" t="s">
        <v>1956</v>
      </c>
      <c r="Q2" s="6"/>
    </row>
    <row r="3" spans="1:19" ht="18" customHeight="1" x14ac:dyDescent="0.25">
      <c r="A3" s="3"/>
      <c r="B3" s="10"/>
      <c r="D3" s="72" t="s">
        <v>420</v>
      </c>
      <c r="E3" s="72"/>
      <c r="F3" s="72"/>
      <c r="G3" s="72"/>
      <c r="H3" s="72"/>
      <c r="I3" s="72"/>
      <c r="J3" s="72"/>
      <c r="K3" s="52"/>
      <c r="L3" s="11"/>
      <c r="M3" s="3"/>
      <c r="N3" s="43"/>
      <c r="O3" s="3"/>
      <c r="P3" s="830"/>
      <c r="Q3" s="6"/>
      <c r="R3" s="769" t="s">
        <v>1970</v>
      </c>
    </row>
    <row r="4" spans="1:19" ht="34.950000000000003" customHeight="1" x14ac:dyDescent="0.2">
      <c r="A4" s="3"/>
      <c r="B4" s="10"/>
      <c r="D4" s="71" t="str">
        <f>IF(VLOOKUP("KM70",Languages!$A:$D,1,TRUE)="KM70",VLOOKUP("KM70",Languages!$A:$D,Summary!$C$7,TRUE),NA())</f>
        <v>Kyberturvallisuuden kypsyystaso</v>
      </c>
      <c r="E4" s="73"/>
      <c r="F4" s="73"/>
      <c r="G4" s="73"/>
      <c r="H4" s="73"/>
      <c r="I4" s="73"/>
      <c r="J4" s="73"/>
      <c r="K4" s="51"/>
      <c r="L4" s="11"/>
      <c r="M4" s="3"/>
      <c r="N4" s="43"/>
      <c r="O4" s="3"/>
      <c r="P4" s="1144" t="s">
        <v>3356</v>
      </c>
      <c r="Q4" s="6"/>
      <c r="R4" s="769" t="s">
        <v>1971</v>
      </c>
    </row>
    <row r="5" spans="1:19" ht="19.95" customHeight="1" x14ac:dyDescent="0.2">
      <c r="A5" s="3"/>
      <c r="B5" s="10"/>
      <c r="D5" s="93" t="str">
        <f>IF(VLOOKUP("KM62",Languages!$A:$D,1,TRUE)="KM62",VLOOKUP("KM62",Languages!$A:$D,Summary!$C$7,TRUE),NA())</f>
        <v xml:space="preserve"> NIST Cybersecurity (CSF v1.1) -viitekehyksen mukaisesti</v>
      </c>
      <c r="E5" s="73"/>
      <c r="F5" s="73"/>
      <c r="G5" s="73"/>
      <c r="H5" s="73"/>
      <c r="I5" s="73"/>
      <c r="J5" s="73"/>
      <c r="K5" s="51"/>
      <c r="L5" s="11"/>
      <c r="M5" s="3"/>
      <c r="N5" s="43"/>
      <c r="O5" s="3"/>
      <c r="P5" s="1144"/>
      <c r="Q5" s="6"/>
      <c r="R5" s="769" t="s">
        <v>1972</v>
      </c>
      <c r="S5" s="769" t="s">
        <v>1970</v>
      </c>
    </row>
    <row r="6" spans="1:19" ht="19.95" customHeight="1" x14ac:dyDescent="0.35">
      <c r="A6" s="3"/>
      <c r="B6" s="10"/>
      <c r="C6" s="34"/>
      <c r="D6" s="1258"/>
      <c r="E6" s="1258"/>
      <c r="F6" s="1258"/>
      <c r="G6" s="1258"/>
      <c r="H6" s="1258"/>
      <c r="I6" s="1258"/>
      <c r="J6" s="32"/>
      <c r="K6" s="32"/>
      <c r="L6" s="11"/>
      <c r="M6" s="3"/>
      <c r="N6" s="43"/>
      <c r="O6" s="3"/>
      <c r="P6" s="1144"/>
      <c r="Q6" s="6"/>
    </row>
    <row r="7" spans="1:19" s="17" customFormat="1" ht="300" customHeight="1" x14ac:dyDescent="0.35">
      <c r="A7" s="3"/>
      <c r="B7" s="38"/>
      <c r="C7" s="39"/>
      <c r="D7" s="69"/>
      <c r="E7" s="48"/>
      <c r="F7" s="32"/>
      <c r="G7" s="32"/>
      <c r="H7" s="32"/>
      <c r="I7" s="32"/>
      <c r="J7" s="41"/>
      <c r="K7" s="41"/>
      <c r="L7" s="11"/>
      <c r="M7" s="3"/>
      <c r="N7" s="43"/>
      <c r="O7" s="3"/>
      <c r="P7" s="1144"/>
      <c r="Q7" s="6"/>
    </row>
    <row r="8" spans="1:19" ht="34.950000000000003" customHeight="1" x14ac:dyDescent="0.25">
      <c r="A8" s="3"/>
      <c r="B8" s="27"/>
      <c r="C8" s="36"/>
      <c r="D8" s="66"/>
      <c r="E8" s="65"/>
      <c r="F8" s="63"/>
      <c r="G8" s="63"/>
      <c r="H8" s="63"/>
      <c r="I8" s="67"/>
      <c r="J8" s="64"/>
      <c r="K8" s="55"/>
      <c r="L8" s="29"/>
      <c r="M8" s="3"/>
      <c r="N8" s="43"/>
      <c r="O8" s="12"/>
      <c r="P8" s="1145"/>
      <c r="Q8" s="12"/>
    </row>
    <row r="9" spans="1:19" ht="19.95" customHeight="1" x14ac:dyDescent="0.25">
      <c r="A9" s="26"/>
      <c r="B9" s="27"/>
      <c r="C9" s="36"/>
      <c r="D9" s="66"/>
      <c r="E9" s="65"/>
      <c r="F9" s="63"/>
      <c r="G9" s="63"/>
      <c r="H9" s="63"/>
      <c r="I9" s="67"/>
      <c r="J9" s="64"/>
      <c r="K9" s="55"/>
      <c r="L9" s="29"/>
      <c r="M9" s="26"/>
      <c r="N9" s="45"/>
      <c r="O9" s="12"/>
      <c r="P9" s="12"/>
      <c r="Q9" s="12"/>
    </row>
    <row r="10" spans="1:19" ht="116.4" customHeight="1" x14ac:dyDescent="0.25">
      <c r="A10" s="26"/>
      <c r="B10" s="27"/>
      <c r="C10" s="36"/>
      <c r="D10" s="567" t="s">
        <v>1622</v>
      </c>
      <c r="E10" s="563" t="str">
        <f>IF(VLOOKUP($D10,Languages!$A:$D,1,TRUE)=$D10,VLOOKUP($D10,Languages!$A:$D,Summary!$C$7,TRUE),NA())</f>
        <v>Tunnistaminen</v>
      </c>
      <c r="F10" s="63"/>
      <c r="G10" s="564">
        <f ca="1">NISTmap!J7</f>
        <v>0</v>
      </c>
      <c r="H10" s="569">
        <f ca="1">IF($G10 &lt; Parameters!$B$4,0,IF($G10 &lt; Parameters!$B$5,1,IF($G10 &lt; Parameters!$B$6,2,3)))</f>
        <v>0</v>
      </c>
      <c r="I10" s="64" t="str">
        <f ca="1">IF(VLOOKUP(CONCATENATE($D10,"-",$H10),Languages!$A:$D,1,TRUE)=CONCATENATE($D10,"-",$H10),VLOOKUP(CONCATENATE($D10,"-",$H10),Languages!$A:$D,Summary!$C$7,TRUE),NA())</f>
        <v>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v>
      </c>
      <c r="J10" s="64"/>
      <c r="K10" s="55"/>
      <c r="L10" s="29"/>
      <c r="M10" s="26"/>
      <c r="N10" s="45"/>
    </row>
    <row r="11" spans="1:19" ht="19.95" customHeight="1" x14ac:dyDescent="0.25">
      <c r="A11" s="26"/>
      <c r="B11" s="27"/>
      <c r="C11" s="36"/>
      <c r="D11" s="568"/>
      <c r="E11" s="65"/>
      <c r="F11" s="63"/>
      <c r="G11" s="63"/>
      <c r="H11" s="570"/>
      <c r="I11" s="67"/>
      <c r="J11" s="64"/>
      <c r="K11" s="55"/>
      <c r="L11" s="29"/>
      <c r="M11" s="26"/>
      <c r="N11" s="45"/>
    </row>
    <row r="12" spans="1:19" ht="90" customHeight="1" x14ac:dyDescent="0.25">
      <c r="A12" s="26"/>
      <c r="B12" s="27"/>
      <c r="C12" s="36"/>
      <c r="D12" s="567" t="s">
        <v>1623</v>
      </c>
      <c r="E12" s="563" t="str">
        <f>IF(VLOOKUP($D12,Languages!$A:$D,1,TRUE)=$D12,VLOOKUP($D12,Languages!$A:$D,Summary!$C$7,TRUE),NA())</f>
        <v>Suojautuminen</v>
      </c>
      <c r="F12" s="63"/>
      <c r="G12" s="564">
        <f ca="1">NISTmap!K7</f>
        <v>0</v>
      </c>
      <c r="H12" s="569">
        <f ca="1">IF($G12 &lt; Parameters!$B$4,0,IF($G12 &lt; Parameters!$B$5,1,IF($G12 &lt; Parameters!$B$6,2,3)))</f>
        <v>0</v>
      </c>
      <c r="I12" s="64" t="str">
        <f ca="1">IF(VLOOKUP(CONCATENATE($D12,"-",$H12),Languages!$A:$D,1,TRUE)=CONCATENATE($D12,"-",$H12),VLOOKUP(CONCATENATE($D12,"-",$H12),Languages!$A:$D,Summary!$C$7,TRUE),NA())</f>
        <v>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v>
      </c>
      <c r="J12" s="64"/>
      <c r="K12" s="55"/>
      <c r="L12" s="29"/>
      <c r="M12" s="26"/>
      <c r="N12" s="45"/>
    </row>
    <row r="13" spans="1:19" ht="19.95" customHeight="1" x14ac:dyDescent="0.25">
      <c r="A13" s="26"/>
      <c r="B13" s="27"/>
      <c r="C13" s="36"/>
      <c r="D13" s="568"/>
      <c r="E13" s="65"/>
      <c r="F13" s="63"/>
      <c r="G13" s="63"/>
      <c r="H13" s="570"/>
      <c r="I13" s="67"/>
      <c r="J13" s="64"/>
      <c r="K13" s="55"/>
      <c r="L13" s="29"/>
      <c r="M13" s="26"/>
      <c r="N13" s="45"/>
    </row>
    <row r="14" spans="1:19" ht="94.2" customHeight="1" x14ac:dyDescent="0.25">
      <c r="A14" s="26"/>
      <c r="B14" s="27"/>
      <c r="C14" s="36"/>
      <c r="D14" s="567" t="s">
        <v>1624</v>
      </c>
      <c r="E14" s="563" t="str">
        <f>IF(VLOOKUP($D14,Languages!$A:$D,1,TRUE)=$D14,VLOOKUP($D14,Languages!$A:$D,Summary!$C$7,TRUE),NA())</f>
        <v>Havainnointi</v>
      </c>
      <c r="F14" s="63"/>
      <c r="G14" s="564">
        <f ca="1">NISTmap!L7</f>
        <v>0</v>
      </c>
      <c r="H14" s="569">
        <f ca="1">IF($G14 &lt; Parameters!$B$4,0,IF($G14 &lt; Parameters!$B$5,1,IF($G14 &lt; Parameters!$B$6,2,3)))</f>
        <v>0</v>
      </c>
      <c r="I14" s="64" t="str">
        <f ca="1">IF(VLOOKUP(CONCATENATE($D14,"-",$H14),Languages!$A:$D,1,TRUE)=CONCATENATE($D14,"-",$H14),VLOOKUP(CONCATENATE($D14,"-",$H14),Languages!$A:$D,Summary!$C$7,TRUE),NA())</f>
        <v>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v>
      </c>
      <c r="J14" s="64"/>
      <c r="K14" s="55"/>
      <c r="L14" s="29"/>
      <c r="M14" s="26"/>
      <c r="N14" s="45"/>
    </row>
    <row r="15" spans="1:19" ht="19.95" customHeight="1" x14ac:dyDescent="0.25">
      <c r="A15" s="26"/>
      <c r="B15" s="27"/>
      <c r="C15" s="36"/>
      <c r="D15" s="568"/>
      <c r="E15" s="65"/>
      <c r="F15" s="63"/>
      <c r="G15" s="63"/>
      <c r="H15" s="570"/>
      <c r="I15" s="67"/>
      <c r="J15" s="64"/>
      <c r="K15" s="55"/>
      <c r="L15" s="29"/>
      <c r="M15" s="26"/>
      <c r="N15" s="45"/>
    </row>
    <row r="16" spans="1:19" ht="79.95" customHeight="1" x14ac:dyDescent="0.25">
      <c r="A16" s="26"/>
      <c r="B16" s="27"/>
      <c r="C16" s="36"/>
      <c r="D16" s="567" t="s">
        <v>1625</v>
      </c>
      <c r="E16" s="563" t="str">
        <f>IF(VLOOKUP($D16,Languages!$A:$D,1,TRUE)=$D16,VLOOKUP($D16,Languages!$A:$D,Summary!$C$7,TRUE),NA())</f>
        <v>Reagointi</v>
      </c>
      <c r="F16" s="63"/>
      <c r="G16" s="564">
        <f ca="1">NISTmap!M7</f>
        <v>0</v>
      </c>
      <c r="H16" s="569">
        <f ca="1">IF($G16 &lt; Parameters!$B$4,0,IF($G16 &lt; Parameters!$B$5,1,IF($G16 &lt; Parameters!$B$6,2,3)))</f>
        <v>0</v>
      </c>
      <c r="I16" s="64" t="str">
        <f ca="1">IF(VLOOKUP(CONCATENATE($D16,"-",$H16),Languages!$A:$D,1,TRUE)=CONCATENATE($D16,"-",$H16),VLOOKUP(CONCATENATE($D16,"-",$H16),Languages!$A:$D,Summary!$C$7,TRUE),NA())</f>
        <v>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v>
      </c>
      <c r="J16" s="64"/>
      <c r="K16" s="55"/>
      <c r="L16" s="29"/>
      <c r="M16" s="26"/>
      <c r="N16" s="45"/>
    </row>
    <row r="17" spans="1:17" ht="19.95" customHeight="1" x14ac:dyDescent="0.25">
      <c r="A17" s="26"/>
      <c r="B17" s="27"/>
      <c r="C17" s="36"/>
      <c r="D17" s="568"/>
      <c r="E17" s="65"/>
      <c r="F17" s="63"/>
      <c r="G17" s="63"/>
      <c r="H17" s="570"/>
      <c r="I17" s="67"/>
      <c r="J17" s="64"/>
      <c r="K17" s="55"/>
      <c r="L17" s="29"/>
      <c r="M17" s="26"/>
      <c r="N17" s="45"/>
    </row>
    <row r="18" spans="1:17" ht="79.95" customHeight="1" x14ac:dyDescent="0.25">
      <c r="A18" s="26"/>
      <c r="B18" s="27"/>
      <c r="C18" s="36"/>
      <c r="D18" s="567" t="s">
        <v>1626</v>
      </c>
      <c r="E18" s="563" t="str">
        <f>IF(VLOOKUP($D18,Languages!$A:$D,1,TRUE)=$D18,VLOOKUP($D18,Languages!$A:$D,Summary!$C$7,TRUE),NA())</f>
        <v>Palautuminen</v>
      </c>
      <c r="F18" s="63"/>
      <c r="G18" s="564">
        <f ca="1">NISTmap!N7</f>
        <v>0</v>
      </c>
      <c r="H18" s="569">
        <f ca="1">IF($G18 &lt; Parameters!$B$4,0,IF($G18 &lt; Parameters!$B$5,1,IF($G18 &lt; Parameters!$B$6,2,3)))</f>
        <v>0</v>
      </c>
      <c r="I18" s="64" t="str">
        <f ca="1">IF(VLOOKUP(CONCATENATE($D18,"-",$H18),Languages!$A:$D,1,TRUE)=CONCATENATE($D18,"-",$H18),VLOOKUP(CONCATENATE($D18,"-",$H18),Languages!$A:$D,Summary!$C$7,TRUE),NA())</f>
        <v>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v>
      </c>
      <c r="J18" s="64"/>
      <c r="K18" s="55"/>
      <c r="L18" s="29"/>
      <c r="M18" s="26"/>
      <c r="N18" s="45"/>
    </row>
    <row r="19" spans="1:17" ht="22.95" customHeight="1" x14ac:dyDescent="0.25">
      <c r="A19" s="26"/>
      <c r="B19" s="27"/>
      <c r="C19" s="36"/>
      <c r="E19" s="564"/>
      <c r="F19" s="63"/>
      <c r="G19" s="564"/>
      <c r="H19" s="564"/>
      <c r="I19" s="64"/>
      <c r="J19" s="64"/>
      <c r="K19" s="55"/>
      <c r="L19" s="29"/>
      <c r="M19" s="26"/>
      <c r="N19" s="45"/>
    </row>
    <row r="20" spans="1:17" s="13" customFormat="1" ht="15" customHeight="1" x14ac:dyDescent="0.25">
      <c r="A20" s="12"/>
      <c r="B20" s="14"/>
      <c r="C20" s="18"/>
      <c r="D20" s="18"/>
      <c r="E20" s="50"/>
      <c r="F20" s="19"/>
      <c r="G20" s="19"/>
      <c r="H20" s="19"/>
      <c r="I20" s="19"/>
      <c r="J20" s="19"/>
      <c r="K20" s="19"/>
      <c r="L20" s="15"/>
      <c r="M20" s="12"/>
      <c r="N20" s="42"/>
      <c r="O20" s="80"/>
      <c r="P20" s="80"/>
      <c r="Q20" s="80"/>
    </row>
    <row r="21" spans="1:17" s="13" customFormat="1" ht="18" customHeight="1" x14ac:dyDescent="0.25">
      <c r="A21" s="12"/>
      <c r="B21" s="12"/>
      <c r="C21" s="12"/>
      <c r="D21" s="16"/>
      <c r="E21" s="16"/>
      <c r="F21" s="12"/>
      <c r="G21" s="12"/>
      <c r="H21" s="12"/>
      <c r="I21" s="12"/>
      <c r="J21" s="12"/>
      <c r="K21" s="12"/>
      <c r="L21" s="12"/>
      <c r="M21" s="12"/>
      <c r="N21" s="42"/>
      <c r="O21" s="80"/>
      <c r="P21" s="80"/>
      <c r="Q21" s="80"/>
    </row>
  </sheetData>
  <sheetProtection sheet="1" formatCells="0" formatColumns="0" formatRows="0"/>
  <mergeCells count="2">
    <mergeCell ref="D6:I6"/>
    <mergeCell ref="P4:P8"/>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58B1"/>
  </sheetPr>
  <dimension ref="A1:O47"/>
  <sheetViews>
    <sheetView showGridLines="0" zoomScale="80" zoomScaleNormal="80" zoomScalePageLayoutView="70" workbookViewId="0"/>
  </sheetViews>
  <sheetFormatPr defaultColWidth="9.26953125" defaultRowHeight="18" customHeight="1" x14ac:dyDescent="0.25"/>
  <cols>
    <col min="1" max="2" width="1.6328125" style="5" customWidth="1"/>
    <col min="3" max="3" width="2.6328125" style="5" customWidth="1"/>
    <col min="4" max="4" width="50.6328125" style="13" customWidth="1"/>
    <col min="5" max="5" width="15.6328125" style="47" customWidth="1"/>
    <col min="6" max="6" width="5.6328125" style="5" customWidth="1"/>
    <col min="7" max="7" width="50.6328125" style="5" customWidth="1"/>
    <col min="8" max="8" width="15.6328125" style="5" customWidth="1"/>
    <col min="9" max="9" width="2.6328125" style="5" customWidth="1"/>
    <col min="10" max="10" width="1.6328125" style="5" customWidth="1"/>
    <col min="11" max="11" width="1.6328125" style="13" customWidth="1"/>
    <col min="12" max="12" width="2.6328125" style="46" customWidth="1"/>
    <col min="13" max="13" width="1.6328125" style="77" customWidth="1"/>
    <col min="14" max="14" width="80.6328125" style="77" customWidth="1"/>
    <col min="15" max="15" width="1.6328125" style="77" customWidth="1"/>
    <col min="16" max="16384" width="9.269531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829" t="s">
        <v>1956</v>
      </c>
      <c r="O2" s="6"/>
    </row>
    <row r="3" spans="1:15" ht="18" customHeight="1" x14ac:dyDescent="0.25">
      <c r="A3" s="3"/>
      <c r="B3" s="10"/>
      <c r="D3" s="72" t="s">
        <v>420</v>
      </c>
      <c r="E3" s="72"/>
      <c r="F3" s="72"/>
      <c r="G3" s="72"/>
      <c r="H3" s="72"/>
      <c r="I3" s="52"/>
      <c r="J3" s="11"/>
      <c r="K3" s="3"/>
      <c r="L3" s="43"/>
      <c r="M3" s="3"/>
      <c r="N3" s="830"/>
      <c r="O3" s="6"/>
    </row>
    <row r="4" spans="1:15" ht="34.950000000000003" customHeight="1" x14ac:dyDescent="0.2">
      <c r="A4" s="3"/>
      <c r="B4" s="10"/>
      <c r="D4" s="71" t="str">
        <f>IF(VLOOKUP("KM70",Languages!$A:$D,1,TRUE)="KM70",VLOOKUP("KM70",Languages!$A:$D,Summary!$C$7,TRUE),NA())</f>
        <v>Kyberturvallisuuden kypsyystaso</v>
      </c>
      <c r="E4" s="73"/>
      <c r="F4" s="73"/>
      <c r="G4" s="73"/>
      <c r="H4" s="73"/>
      <c r="I4" s="51"/>
      <c r="J4" s="11"/>
      <c r="K4" s="3"/>
      <c r="L4" s="43"/>
      <c r="M4" s="3"/>
      <c r="N4" s="1144" t="s">
        <v>2590</v>
      </c>
      <c r="O4" s="6"/>
    </row>
    <row r="5" spans="1:15" ht="19.95" customHeight="1" x14ac:dyDescent="0.2">
      <c r="A5" s="3"/>
      <c r="B5" s="10"/>
      <c r="D5" s="93" t="str">
        <f>IF(VLOOKUP("KM63",Languages!$A:$D,1,TRUE)="KM63",VLOOKUP("KM63",Languages!$A:$D,Summary!$C$7,TRUE),NA())</f>
        <v xml:space="preserve"> Kyberturvallisuuden osioiden mukaisesti</v>
      </c>
      <c r="E5" s="73"/>
      <c r="F5" s="73"/>
      <c r="G5" s="73"/>
      <c r="H5" s="73"/>
      <c r="I5" s="51"/>
      <c r="J5" s="11"/>
      <c r="K5" s="3"/>
      <c r="L5" s="43"/>
      <c r="M5" s="3"/>
      <c r="N5" s="1144"/>
      <c r="O5" s="6"/>
    </row>
    <row r="6" spans="1:15" ht="19.95" customHeight="1" x14ac:dyDescent="0.35">
      <c r="A6" s="3"/>
      <c r="B6" s="10"/>
      <c r="C6" s="34"/>
      <c r="D6" s="1258"/>
      <c r="E6" s="1258"/>
      <c r="F6" s="1258"/>
      <c r="G6" s="1258"/>
      <c r="H6" s="32"/>
      <c r="I6" s="32"/>
      <c r="J6" s="11"/>
      <c r="K6" s="3"/>
      <c r="L6" s="43"/>
      <c r="M6" s="3"/>
      <c r="N6" s="1144"/>
      <c r="O6" s="6"/>
    </row>
    <row r="7" spans="1:15" s="17" customFormat="1" ht="300" customHeight="1" x14ac:dyDescent="0.35">
      <c r="A7" s="3"/>
      <c r="B7" s="38"/>
      <c r="C7" s="39"/>
      <c r="D7" s="69"/>
      <c r="E7" s="48"/>
      <c r="F7" s="32"/>
      <c r="G7" s="32"/>
      <c r="H7" s="41"/>
      <c r="I7" s="41"/>
      <c r="J7" s="40"/>
      <c r="K7" s="3"/>
      <c r="L7" s="43"/>
      <c r="M7" s="3"/>
      <c r="N7" s="1144"/>
      <c r="O7" s="6"/>
    </row>
    <row r="8" spans="1:15" ht="34.950000000000003" customHeight="1" x14ac:dyDescent="0.25">
      <c r="A8" s="3"/>
      <c r="B8" s="27"/>
      <c r="C8" s="36"/>
      <c r="D8" s="66"/>
      <c r="E8" s="65"/>
      <c r="F8" s="63"/>
      <c r="G8" s="67"/>
      <c r="H8" s="64"/>
      <c r="I8" s="55"/>
      <c r="J8" s="29"/>
      <c r="K8" s="3"/>
      <c r="L8" s="43"/>
      <c r="M8" s="12"/>
      <c r="N8" s="1145"/>
      <c r="O8" s="12"/>
    </row>
    <row r="9" spans="1:15" ht="19.95" customHeight="1" x14ac:dyDescent="0.25">
      <c r="A9" s="26"/>
      <c r="B9" s="27"/>
      <c r="C9" s="36"/>
      <c r="D9" s="66"/>
      <c r="E9" s="65"/>
      <c r="F9" s="63"/>
      <c r="G9" s="67"/>
      <c r="H9" s="64"/>
      <c r="I9" s="55"/>
      <c r="J9" s="29"/>
      <c r="K9" s="26"/>
      <c r="L9" s="45"/>
      <c r="M9" s="12"/>
      <c r="N9" s="12"/>
      <c r="O9" s="12"/>
    </row>
    <row r="10" spans="1:15" s="17" customFormat="1" ht="19.95" customHeight="1" x14ac:dyDescent="0.25">
      <c r="A10" s="3"/>
      <c r="B10" s="85"/>
      <c r="C10" s="81" t="s">
        <v>56</v>
      </c>
      <c r="D10" s="89" t="str">
        <f>IF(VLOOKUP(C10,Languages!$A:$D,1,TRUE)=C10,VLOOKUP(C10,Languages!$A:$D,Summary!$C$7,TRUE),NA())</f>
        <v>Kriittisten palveluiden suojaaminen (CRITICAL)</v>
      </c>
      <c r="E10" s="90" t="str">
        <f ca="1">VLOOKUP(VLOOKUP(CONCATENATE(C10),Data!$K:$O,5,FALSE),Parameters!$C$7:$F$10,Summary!$C$7,FALSE)</f>
        <v>Kypsyystaso 0</v>
      </c>
      <c r="F10" s="81" t="s">
        <v>69</v>
      </c>
      <c r="G10" s="89" t="str">
        <f>IF(VLOOKUP(F10,Languages!$A:$D,1,TRUE)=F10,VLOOKUP(F10,Languages!$A:$D,Summary!$C$7,TRUE),NA())</f>
        <v>Tapahtumien ja häiriöiden hallinta, toiminnan jatkuvuus (RESPONSE)</v>
      </c>
      <c r="H10" s="90" t="str">
        <f ca="1">VLOOKUP(VLOOKUP(CONCATENATE(F10),Data!$K:$O,5,FALSE),Parameters!$C$7:$F$10,Summary!$C$7,FALSE)</f>
        <v>Kypsyystaso 0</v>
      </c>
      <c r="I10" s="53"/>
      <c r="J10" s="54"/>
      <c r="K10" s="3"/>
      <c r="L10" s="45"/>
      <c r="M10" s="77"/>
      <c r="N10" s="77"/>
      <c r="O10" s="77"/>
    </row>
    <row r="11" spans="1:15" s="17" customFormat="1" ht="19.95" customHeight="1" x14ac:dyDescent="0.25">
      <c r="A11" s="3"/>
      <c r="B11" s="86" t="s">
        <v>56</v>
      </c>
      <c r="C11" s="87">
        <v>1</v>
      </c>
      <c r="D11" s="61" t="str">
        <f>IF(VLOOKUP(CONCATENATE(B11,"-",C11),Languages!$A:$D,1,TRUE)=CONCATENATE(B11,"-",C11),VLOOKUP(CONCATENATE(B11,"-",C11),Languages!$A:$D,Summary!$C$7,TRUE),NA())</f>
        <v>Kriittisten palveluiden ja niiden riippuvuuksien tunnistaminen</v>
      </c>
      <c r="E11" s="62" t="str">
        <f ca="1">VLOOKUP(VLOOKUP(CONCATENATE(B11,"-",C11),Data!$K:$O,5,FALSE),Parameters!$C$7:$F$10,Summary!$C$7,FALSE)</f>
        <v>Kypsyystaso 0</v>
      </c>
      <c r="F11" s="88">
        <v>1</v>
      </c>
      <c r="G11" s="61" t="str">
        <f>IF(VLOOKUP(CONCATENATE(I11,"-",F11),Languages!$A:$D,1,TRUE)=CONCATENATE(I11,"-",F11),VLOOKUP(CONCATENATE(I11,"-",F11),Languages!$A:$D,Summary!$C$7,TRUE),NA())</f>
        <v>Tapahtumien havainnointi</v>
      </c>
      <c r="H11" s="62" t="str">
        <f ca="1">VLOOKUP(VLOOKUP(CONCATENATE(I11,"-",F11),Data!$K:$O,5,FALSE),Parameters!$C$7:$F$10,Summary!$C$7,FALSE)</f>
        <v>Kypsyystaso 0</v>
      </c>
      <c r="I11" s="82" t="s">
        <v>69</v>
      </c>
      <c r="J11" s="54"/>
      <c r="K11" s="3"/>
      <c r="L11" s="45"/>
      <c r="M11" s="77"/>
      <c r="N11" s="77"/>
      <c r="O11" s="77"/>
    </row>
    <row r="12" spans="1:15" s="17" customFormat="1" ht="19.95" customHeight="1" x14ac:dyDescent="0.25">
      <c r="A12" s="3"/>
      <c r="B12" s="86" t="s">
        <v>56</v>
      </c>
      <c r="C12" s="87">
        <v>2</v>
      </c>
      <c r="D12" s="61" t="str">
        <f>IF(VLOOKUP(CONCATENATE(B12,"-",C12),Languages!$A:$D,1,TRUE)=CONCATENATE(B12,"-",C12),VLOOKUP(CONCATENATE(B12,"-",C12),Languages!$A:$D,Summary!$C$7,TRUE),NA())</f>
        <v>Kriittisten palveluiden hallinta</v>
      </c>
      <c r="E12" s="62" t="str">
        <f ca="1">VLOOKUP(VLOOKUP(CONCATENATE(B12,"-",C12),Data!$K:$O,5,FALSE),Parameters!$C$7:$F$10,Summary!$C$7,FALSE)</f>
        <v>Kypsyystaso 0</v>
      </c>
      <c r="F12" s="88">
        <v>2</v>
      </c>
      <c r="G12" s="61" t="str">
        <f>IF(VLOOKUP(CONCATENATE(I12,"-",F12),Languages!$A:$D,1,TRUE)=CONCATENATE(I12,"-",F12),VLOOKUP(CONCATENATE(I12,"-",F12),Languages!$A:$D,Summary!$C$7,TRUE),NA())</f>
        <v>Tapahtumien analysointi ja häiriötilanteiden määrittäminen</v>
      </c>
      <c r="H12" s="62" t="str">
        <f ca="1">VLOOKUP(VLOOKUP(CONCATENATE(I12,"-",F12),Data!$K:$O,5,FALSE),Parameters!$C$7:$F$10,Summary!$C$7,FALSE)</f>
        <v>Kypsyystaso 0</v>
      </c>
      <c r="I12" s="82" t="s">
        <v>69</v>
      </c>
      <c r="J12" s="54"/>
      <c r="K12" s="3"/>
      <c r="L12" s="45"/>
      <c r="M12" s="77"/>
      <c r="N12" s="77"/>
      <c r="O12" s="77"/>
    </row>
    <row r="13" spans="1:15" s="17" customFormat="1" ht="19.95" customHeight="1" x14ac:dyDescent="0.25">
      <c r="A13" s="3"/>
      <c r="B13" s="86" t="s">
        <v>56</v>
      </c>
      <c r="C13" s="87">
        <v>3</v>
      </c>
      <c r="D13" s="61" t="str">
        <f>IF(VLOOKUP(CONCATENATE(B13,"-",C13),Languages!$A:$D,1,TRUE)=CONCATENATE(B13,"-",C13),VLOOKUP(CONCATENATE(B13,"-",C13),Languages!$A:$D,Summary!$C$7,TRUE),NA())</f>
        <v>Kriittisten palveluiden kyberhäiriöiden vaikutusten minimointi</v>
      </c>
      <c r="E13" s="62" t="str">
        <f ca="1">VLOOKUP(VLOOKUP(CONCATENATE(B13,"-",C13),Data!$K:$O,5,FALSE),Parameters!$C$7:$F$10,Summary!$C$7,FALSE)</f>
        <v>Kypsyystaso 0</v>
      </c>
      <c r="F13" s="88">
        <v>3</v>
      </c>
      <c r="G13" s="61" t="str">
        <f>IF(VLOOKUP(CONCATENATE(I13,"-",F13),Languages!$A:$D,1,TRUE)=CONCATENATE(I13,"-",F13),VLOOKUP(CONCATENATE(I13,"-",F13),Languages!$A:$D,Summary!$C$7,TRUE),NA())</f>
        <v>Tapahtumiin ja häiriöihin reagoiminen</v>
      </c>
      <c r="H13" s="62" t="str">
        <f ca="1">VLOOKUP(VLOOKUP(CONCATENATE(I13,"-",F13),Data!$K:$O,5,FALSE),Parameters!$C$7:$F$10,Summary!$C$7,FALSE)</f>
        <v>Kypsyystaso 0</v>
      </c>
      <c r="I13" s="82" t="s">
        <v>69</v>
      </c>
      <c r="J13" s="54"/>
      <c r="K13" s="3"/>
      <c r="L13" s="45"/>
      <c r="M13" s="77"/>
      <c r="N13" s="77"/>
      <c r="O13" s="77"/>
    </row>
    <row r="14" spans="1:15" ht="19.95" customHeight="1" x14ac:dyDescent="0.25">
      <c r="A14" s="3"/>
      <c r="B14" s="86"/>
      <c r="C14" s="87"/>
      <c r="D14" s="57"/>
      <c r="E14" s="56"/>
      <c r="F14" s="75">
        <v>4</v>
      </c>
      <c r="G14" s="61" t="str">
        <f>IF(VLOOKUP(CONCATENATE(I14,"-",F14),Languages!$A:$D,1,TRUE)=CONCATENATE(I14,"-",F14),VLOOKUP(CONCATENATE(I14,"-",F14),Languages!$A:$D,Summary!$C$7,TRUE),NA())</f>
        <v>Kyberturvallisuus osana toiminnan jatkuvuutta</v>
      </c>
      <c r="H14" s="62" t="str">
        <f ca="1">VLOOKUP(VLOOKUP(CONCATENATE(I14,"-",F14),Data!$K:$O,5,FALSE),Parameters!$C$7:$F$10,Summary!$C$7,FALSE)</f>
        <v>Kypsyystaso 0</v>
      </c>
      <c r="I14" s="82" t="s">
        <v>69</v>
      </c>
      <c r="J14" s="29"/>
      <c r="K14" s="3"/>
      <c r="L14" s="45"/>
    </row>
    <row r="15" spans="1:15" ht="19.95" customHeight="1" x14ac:dyDescent="0.25">
      <c r="A15" s="3"/>
      <c r="B15" s="86"/>
      <c r="C15" s="81" t="s">
        <v>48</v>
      </c>
      <c r="D15" s="89" t="str">
        <f>IF(VLOOKUP(C15,Languages!$A:$D,1,TRUE)=C15,VLOOKUP(C15,Languages!$A:$D,Summary!$C$7,TRUE),NA())</f>
        <v>Omaisuuden, muutosten ja konfiguraation hallinta (ASSET)</v>
      </c>
      <c r="E15" s="90" t="str">
        <f ca="1">VLOOKUP(VLOOKUP(CONCATENATE(C15),Data!$K:$O,5,FALSE),Parameters!$C$7:$F$10,Summary!$C$7,FALSE)</f>
        <v>Kypsyystaso 0</v>
      </c>
      <c r="F15" s="75">
        <v>5</v>
      </c>
      <c r="G15" s="61" t="str">
        <f>IF(VLOOKUP(CONCATENATE(I15,"-",F15),Languages!$A:$D,1,TRUE)=CONCATENATE(I15,"-",F15),VLOOKUP(CONCATENATE(I15,"-",F15),Languages!$A:$D,Summary!$C$7,TRUE),NA())</f>
        <v>Yleisiä hallintatoimia</v>
      </c>
      <c r="H15" s="62" t="str">
        <f ca="1">VLOOKUP(VLOOKUP(CONCATENATE(I15,"-",F15),Data!$K:$O,5,FALSE),Parameters!$C$7:$F$10,Summary!$C$7,FALSE)</f>
        <v>Kypsyystaso 1</v>
      </c>
      <c r="I15" s="82" t="s">
        <v>69</v>
      </c>
      <c r="J15" s="29"/>
      <c r="K15" s="3"/>
      <c r="L15" s="45"/>
    </row>
    <row r="16" spans="1:15" ht="19.95" customHeight="1" x14ac:dyDescent="0.25">
      <c r="A16" s="3"/>
      <c r="B16" s="86" t="s">
        <v>48</v>
      </c>
      <c r="C16" s="87">
        <v>1</v>
      </c>
      <c r="D16" s="61" t="str">
        <f>IF(VLOOKUP(CONCATENATE(B16,"-",C16),Languages!$A:$D,1,TRUE)=CONCATENATE(B16,"-",C16),VLOOKUP(CONCATENATE(B16,"-",C16),Languages!$A:$D,Summary!$C$7,TRUE),NA())</f>
        <v>Laitteiden ja ohjelmistojen hallinta</v>
      </c>
      <c r="E16" s="62" t="str">
        <f ca="1">VLOOKUP(VLOOKUP(CONCATENATE(B16,"-",C16),Data!$K:$O,5,FALSE),Parameters!$C$7:$F$10,Summary!$C$7,FALSE)</f>
        <v>Kypsyystaso 0</v>
      </c>
      <c r="F16" s="81" t="s">
        <v>2619</v>
      </c>
      <c r="J16" s="29"/>
      <c r="K16" s="3"/>
      <c r="L16" s="45"/>
    </row>
    <row r="17" spans="1:15" ht="19.95" customHeight="1" x14ac:dyDescent="0.25">
      <c r="A17" s="3"/>
      <c r="B17" s="86" t="s">
        <v>48</v>
      </c>
      <c r="C17" s="87">
        <v>2</v>
      </c>
      <c r="D17" s="61" t="str">
        <f>IF(VLOOKUP(CONCATENATE(B17,"-",C17),Languages!$A:$D,1,TRUE)=CONCATENATE(B17,"-",C17),VLOOKUP(CONCATENATE(B17,"-",C17),Languages!$A:$D,Summary!$C$7,TRUE),NA())</f>
        <v>Tietovarantojen hallinta</v>
      </c>
      <c r="E17" s="62" t="str">
        <f ca="1">VLOOKUP(VLOOKUP(CONCATENATE(B17,"-",C17),Data!$K:$O,5,FALSE),Parameters!$C$7:$F$10,Summary!$C$7,FALSE)</f>
        <v>Kypsyystaso 0</v>
      </c>
      <c r="G17" s="89" t="str">
        <f>IF(VLOOKUP(F16,Languages!$A:$D,1,TRUE)=F16,VLOOKUP(F16,Languages!$A:$D,Summary!$C$7,TRUE),NA())</f>
        <v>Kumppaniverkoston riskien hallinta (THIRD-PARTIES)</v>
      </c>
      <c r="H17" s="90" t="str">
        <f ca="1">VLOOKUP(VLOOKUP(CONCATENATE(F16),Data!$K:$O,5,FALSE),Parameters!$C$7:$F$10,Summary!$C$7,FALSE)</f>
        <v>Kypsyystaso 0</v>
      </c>
      <c r="I17" s="68"/>
      <c r="J17" s="29"/>
      <c r="K17" s="3"/>
      <c r="L17" s="45"/>
    </row>
    <row r="18" spans="1:15" ht="19.95" customHeight="1" x14ac:dyDescent="0.25">
      <c r="A18" s="3"/>
      <c r="B18" s="86" t="s">
        <v>48</v>
      </c>
      <c r="C18" s="87">
        <v>3</v>
      </c>
      <c r="D18" s="61" t="str">
        <f>IF(VLOOKUP(CONCATENATE(B18,"-",C18),Languages!$A:$D,1,TRUE)=CONCATENATE(B18,"-",C18),VLOOKUP(CONCATENATE(B18,"-",C18),Languages!$A:$D,Summary!$C$7,TRUE),NA())</f>
        <v>Konfiguraation hallinta</v>
      </c>
      <c r="E18" s="62" t="str">
        <f ca="1">VLOOKUP(VLOOKUP(CONCATENATE(B18,"-",C18),Data!$K:$O,5,FALSE),Parameters!$C$7:$F$10,Summary!$C$7,FALSE)</f>
        <v>Kypsyystaso 0</v>
      </c>
      <c r="F18" s="88">
        <v>1</v>
      </c>
      <c r="G18" s="61" t="str">
        <f>IF(VLOOKUP(CONCATENATE(I18,"-",F18),Languages!$A:$D,1,TRUE)=CONCATENATE(I18,"-",F18),VLOOKUP(CONCATENATE(I18,"-",F18),Languages!$A:$D,Summary!$C$7,TRUE),NA())</f>
        <v>Kumppaniverkoston tunnistaminen ja priorisointi</v>
      </c>
      <c r="H18" s="62" t="str">
        <f ca="1">VLOOKUP(VLOOKUP(CONCATENATE(I18,"-",F18),Data!$K:$O,5,FALSE),Parameters!$C$7:$F$10,Summary!$C$7,FALSE)</f>
        <v>Kypsyystaso 0</v>
      </c>
      <c r="I18" s="82" t="s">
        <v>2619</v>
      </c>
      <c r="J18" s="29"/>
      <c r="K18" s="3"/>
      <c r="L18" s="45"/>
    </row>
    <row r="19" spans="1:15" ht="19.95" customHeight="1" x14ac:dyDescent="0.25">
      <c r="A19" s="3"/>
      <c r="B19" s="86" t="s">
        <v>48</v>
      </c>
      <c r="C19" s="87">
        <v>4</v>
      </c>
      <c r="D19" s="61" t="str">
        <f>IF(VLOOKUP(CONCATENATE(B19,"-",C19),Languages!$A:$D,1,TRUE)=CONCATENATE(B19,"-",C19),VLOOKUP(CONCATENATE(B19,"-",C19),Languages!$A:$D,Summary!$C$7,TRUE),NA())</f>
        <v>Muutoksenhallinta</v>
      </c>
      <c r="E19" s="62" t="str">
        <f ca="1">VLOOKUP(VLOOKUP(CONCATENATE(B19,"-",C19),Data!$K:$O,5,FALSE),Parameters!$C$7:$F$10,Summary!$C$7,FALSE)</f>
        <v>Kypsyystaso 0</v>
      </c>
      <c r="F19" s="88">
        <v>2</v>
      </c>
      <c r="G19" s="61" t="str">
        <f>IF(VLOOKUP(CONCATENATE(I19,"-",F19),Languages!$A:$D,1,TRUE)=CONCATENATE(I19,"-",F19),VLOOKUP(CONCATENATE(I19,"-",F19),Languages!$A:$D,Summary!$C$7,TRUE),NA())</f>
        <v>Kumppaniverkostoon liittyvien riskien hallinta</v>
      </c>
      <c r="H19" s="62" t="str">
        <f ca="1">VLOOKUP(VLOOKUP(CONCATENATE(I19,"-",F19),Data!$K:$O,5,FALSE),Parameters!$C$7:$F$10,Summary!$C$7,FALSE)</f>
        <v>Kypsyystaso 0</v>
      </c>
      <c r="I19" s="82" t="s">
        <v>2619</v>
      </c>
      <c r="J19" s="29"/>
      <c r="K19" s="3"/>
      <c r="L19" s="45"/>
    </row>
    <row r="20" spans="1:15" ht="19.95" customHeight="1" x14ac:dyDescent="0.25">
      <c r="A20" s="3"/>
      <c r="B20" s="86" t="s">
        <v>48</v>
      </c>
      <c r="C20" s="81">
        <v>5</v>
      </c>
      <c r="D20" s="61" t="str">
        <f>IF(VLOOKUP(CONCATENATE(B20,"-",C20),Languages!$A:$D,1,TRUE)=CONCATENATE(B20,"-",C20),VLOOKUP(CONCATENATE(B20,"-",C20),Languages!$A:$D,Summary!$C$7,TRUE),NA())</f>
        <v>Yleisiä hallintatoimia</v>
      </c>
      <c r="E20" s="62" t="str">
        <f ca="1">VLOOKUP(VLOOKUP(CONCATENATE(B20,"-",C20),Data!$K:$O,5,FALSE),Parameters!$C$7:$F$10,Summary!$C$7,FALSE)</f>
        <v>Kypsyystaso 1</v>
      </c>
      <c r="F20" s="88">
        <v>3</v>
      </c>
      <c r="G20" s="61" t="str">
        <f>IF(VLOOKUP(CONCATENATE(I20,"-",F20),Languages!$A:$D,1,TRUE)=CONCATENATE(I20,"-",F20),VLOOKUP(CONCATENATE(I20,"-",F20),Languages!$A:$D,Summary!$C$7,TRUE),NA())</f>
        <v>Yleisiä hallintatoimia</v>
      </c>
      <c r="H20" s="62" t="str">
        <f ca="1">VLOOKUP(VLOOKUP(CONCATENATE(I20,"-",F20),Data!$K:$O,5,FALSE),Parameters!$C$7:$F$10,Summary!$C$7,FALSE)</f>
        <v>Kypsyystaso 1</v>
      </c>
      <c r="I20" s="82" t="s">
        <v>2619</v>
      </c>
      <c r="J20" s="29"/>
      <c r="K20" s="3"/>
      <c r="L20" s="42"/>
      <c r="M20" s="80"/>
      <c r="N20" s="80"/>
      <c r="O20" s="80"/>
    </row>
    <row r="21" spans="1:15" ht="19.95" customHeight="1" x14ac:dyDescent="0.25">
      <c r="A21" s="3"/>
      <c r="B21" s="86"/>
      <c r="C21" s="87"/>
      <c r="F21" s="75"/>
      <c r="G21" s="61"/>
      <c r="H21" s="62"/>
      <c r="I21" s="82"/>
      <c r="J21" s="29"/>
      <c r="K21" s="3"/>
      <c r="L21" s="42"/>
      <c r="M21" s="80"/>
      <c r="N21" s="80"/>
      <c r="O21" s="80"/>
    </row>
    <row r="22" spans="1:15" ht="19.95" customHeight="1" x14ac:dyDescent="0.25">
      <c r="A22" s="3"/>
      <c r="B22" s="86"/>
      <c r="C22" s="87" t="s">
        <v>64</v>
      </c>
      <c r="D22" s="89" t="str">
        <f>IF(VLOOKUP(C22,Languages!$A:$D,1,TRUE)=C22,VLOOKUP(C22,Languages!$A:$D,Summary!$C$7,TRUE),NA())</f>
        <v>Uhkien ja haavoittuvuuksien hallinta (THREAT)</v>
      </c>
      <c r="E22" s="90" t="str">
        <f ca="1">VLOOKUP(VLOOKUP(CONCATENATE(C22),Data!$K:$O,5,FALSE),Parameters!$C$7:$F$10,Summary!$C$7,FALSE)</f>
        <v>Kypsyystaso 0</v>
      </c>
      <c r="F22" s="81" t="s">
        <v>74</v>
      </c>
      <c r="G22" s="89" t="str">
        <f>IF(VLOOKUP(F22,Languages!$A:$D,1,TRUE)=F22,VLOOKUP(F22,Languages!$A:$D,Summary!$C$7,TRUE),NA())</f>
        <v>Henkilöstön johtaminen ja kehittäminen (WORKFORCE)</v>
      </c>
      <c r="H22" s="90" t="str">
        <f ca="1">VLOOKUP(VLOOKUP(CONCATENATE(F22),Data!$K:$O,5,FALSE),Parameters!$C$7:$F$10,Summary!$C$7,FALSE)</f>
        <v>Kypsyystaso 0</v>
      </c>
      <c r="I22" s="68"/>
      <c r="J22" s="29"/>
      <c r="K22" s="3"/>
    </row>
    <row r="23" spans="1:15" ht="19.95" customHeight="1" x14ac:dyDescent="0.25">
      <c r="A23" s="3"/>
      <c r="B23" s="86" t="s">
        <v>64</v>
      </c>
      <c r="C23" s="87">
        <v>1</v>
      </c>
      <c r="D23" s="61" t="str">
        <f>IF(VLOOKUP(CONCATENATE(B23,"-",C23),Languages!$A:$D,1,TRUE)=CONCATENATE(B23,"-",C23),VLOOKUP(CONCATENATE(B23,"-",C23),Languages!$A:$D,Summary!$C$7,TRUE),NA())</f>
        <v>Haavoittuvuuksien vähentäminen</v>
      </c>
      <c r="E23" s="62" t="str">
        <f ca="1">VLOOKUP(VLOOKUP(CONCATENATE(B23,"-",C23),Data!$K:$O,5,FALSE),Parameters!$C$7:$F$10,Summary!$C$7,FALSE)</f>
        <v>Kypsyystaso 0</v>
      </c>
      <c r="F23" s="88">
        <v>1</v>
      </c>
      <c r="G23" s="61" t="str">
        <f>IF(VLOOKUP(CONCATENATE(I23,"-",F23),Languages!$A:$D,1,TRUE)=CONCATENATE(I23,"-",F23),VLOOKUP(CONCATENATE(I23,"-",F23),Languages!$A:$D,Summary!$C$7,TRUE),NA())</f>
        <v>Kyberturvallisuuden vastuiden jakaminen</v>
      </c>
      <c r="H23" s="62" t="str">
        <f ca="1">VLOOKUP(VLOOKUP(CONCATENATE(I23,"-",F23),Data!$K:$O,5,FALSE),Parameters!$C$7:$F$10,Summary!$C$7,FALSE)</f>
        <v>Kypsyystaso 0</v>
      </c>
      <c r="I23" s="82" t="s">
        <v>74</v>
      </c>
      <c r="J23" s="29"/>
      <c r="K23" s="3"/>
    </row>
    <row r="24" spans="1:15" ht="19.95" customHeight="1" x14ac:dyDescent="0.25">
      <c r="A24" s="3"/>
      <c r="B24" s="86" t="s">
        <v>64</v>
      </c>
      <c r="C24" s="87">
        <v>2</v>
      </c>
      <c r="D24" s="61" t="str">
        <f>IF(VLOOKUP(CONCATENATE(B24,"-",C24),Languages!$A:$D,1,TRUE)=CONCATENATE(B24,"-",C24),VLOOKUP(CONCATENATE(B24,"-",C24),Languages!$A:$D,Summary!$C$7,TRUE),NA())</f>
        <v>Uhkien torjunta ja uhkatiedon jakaminen</v>
      </c>
      <c r="E24" s="62" t="str">
        <f ca="1">VLOOKUP(VLOOKUP(CONCATENATE(B24,"-",C24),Data!$K:$O,5,FALSE),Parameters!$C$7:$F$10,Summary!$C$7,FALSE)</f>
        <v>Kypsyystaso 0</v>
      </c>
      <c r="F24" s="88">
        <v>2</v>
      </c>
      <c r="G24" s="61" t="str">
        <f>IF(VLOOKUP(CONCATENATE(I24,"-",F24),Languages!$A:$D,1,TRUE)=CONCATENATE(I24,"-",F24),VLOOKUP(CONCATENATE(I24,"-",F24),Languages!$A:$D,Summary!$C$7,TRUE),NA())</f>
        <v>Kyberturvallisuuteen keskittyvän henkilöstön kehittäminen</v>
      </c>
      <c r="H24" s="62" t="str">
        <f ca="1">VLOOKUP(VLOOKUP(CONCATENATE(I24,"-",F24),Data!$K:$O,5,FALSE),Parameters!$C$7:$F$10,Summary!$C$7,FALSE)</f>
        <v>Kypsyystaso 0</v>
      </c>
      <c r="I24" s="82" t="s">
        <v>74</v>
      </c>
      <c r="J24" s="29"/>
      <c r="K24" s="3"/>
    </row>
    <row r="25" spans="1:15" ht="19.95" customHeight="1" x14ac:dyDescent="0.25">
      <c r="A25" s="3"/>
      <c r="B25" s="86" t="s">
        <v>64</v>
      </c>
      <c r="C25" s="81">
        <v>3</v>
      </c>
      <c r="D25" s="61" t="str">
        <f>IF(VLOOKUP(CONCATENATE(B25,"-",C25),Languages!$A:$D,1,TRUE)=CONCATENATE(B25,"-",C25),VLOOKUP(CONCATENATE(B25,"-",C25),Languages!$A:$D,Summary!$C$7,TRUE),NA())</f>
        <v>Yleisiä hallintatoimia</v>
      </c>
      <c r="E25" s="62" t="str">
        <f ca="1">VLOOKUP(VLOOKUP(CONCATENATE(B25,"-",C25),Data!$K:$O,5,FALSE),Parameters!$C$7:$F$10,Summary!$C$7,FALSE)</f>
        <v>Kypsyystaso 1</v>
      </c>
      <c r="F25" s="88">
        <v>3</v>
      </c>
      <c r="G25" s="61" t="str">
        <f>IF(VLOOKUP(CONCATENATE(I25,"-",F25),Languages!$A:$D,1,TRUE)=CONCATENATE(I25,"-",F25),VLOOKUP(CONCATENATE(I25,"-",F25),Languages!$A:$D,Summary!$C$7,TRUE),NA())</f>
        <v>Henkilöstöhallinnon prosessit</v>
      </c>
      <c r="H25" s="62" t="str">
        <f ca="1">VLOOKUP(VLOOKUP(CONCATENATE(I25,"-",F25),Data!$K:$O,5,FALSE),Parameters!$C$7:$F$10,Summary!$C$7,FALSE)</f>
        <v>Kypsyystaso 0</v>
      </c>
      <c r="I25" s="82" t="s">
        <v>74</v>
      </c>
      <c r="J25" s="29"/>
      <c r="K25" s="3"/>
    </row>
    <row r="26" spans="1:15" ht="19.95" customHeight="1" x14ac:dyDescent="0.25">
      <c r="A26" s="3"/>
      <c r="B26" s="86"/>
      <c r="C26" s="87"/>
      <c r="D26" s="57"/>
      <c r="E26" s="56"/>
      <c r="F26" s="75">
        <v>4</v>
      </c>
      <c r="G26" s="61" t="str">
        <f>IF(VLOOKUP(CONCATENATE(I26,"-",F26),Languages!$A:$D,1,TRUE)=CONCATENATE(I26,"-",F26),VLOOKUP(CONCATENATE(I26,"-",F26),Languages!$A:$D,Summary!$C$7,TRUE),NA())</f>
        <v>Koulutus ja kybertietoisuuden lisääminen</v>
      </c>
      <c r="H26" s="62" t="str">
        <f ca="1">VLOOKUP(VLOOKUP(CONCATENATE(I26,"-",F26),Data!$K:$O,5,FALSE),Parameters!$C$7:$F$10,Summary!$C$7,FALSE)</f>
        <v>Kypsyystaso 0</v>
      </c>
      <c r="I26" s="82" t="s">
        <v>74</v>
      </c>
      <c r="J26" s="29"/>
      <c r="K26" s="3"/>
    </row>
    <row r="27" spans="1:15" ht="19.95" customHeight="1" x14ac:dyDescent="0.25">
      <c r="A27" s="3"/>
      <c r="B27" s="86"/>
      <c r="C27" s="87" t="s">
        <v>0</v>
      </c>
      <c r="D27" s="89" t="str">
        <f>IF(VLOOKUP(C27,Languages!$A:$D,1,TRUE)=C27,VLOOKUP(C27,Languages!$A:$D,Summary!$C$7,TRUE),NA())</f>
        <v>Riskienhallinta (RISK)</v>
      </c>
      <c r="E27" s="90" t="str">
        <f ca="1">VLOOKUP(VLOOKUP(CONCATENATE(C27),Data!$K:$O,5,FALSE),Parameters!$C$7:$F$10,Summary!$C$7,FALSE)</f>
        <v>Kypsyystaso 0</v>
      </c>
      <c r="F27" s="75">
        <v>5</v>
      </c>
      <c r="G27" s="61" t="str">
        <f>IF(VLOOKUP(CONCATENATE(I27,"-",F27),Languages!$A:$D,1,TRUE)=CONCATENATE(I27,"-",F27),VLOOKUP(CONCATENATE(I27,"-",F27),Languages!$A:$D,Summary!$C$7,TRUE),NA())</f>
        <v>Yleisiä hallintatoimia</v>
      </c>
      <c r="H27" s="62" t="str">
        <f ca="1">VLOOKUP(VLOOKUP(CONCATENATE(I27,"-",F27),Data!$K:$O,5,FALSE),Parameters!$C$7:$F$10,Summary!$C$7,FALSE)</f>
        <v>Kypsyystaso 1</v>
      </c>
      <c r="I27" s="82" t="s">
        <v>74</v>
      </c>
      <c r="J27" s="29"/>
      <c r="K27" s="3"/>
    </row>
    <row r="28" spans="1:15" ht="19.95" customHeight="1" x14ac:dyDescent="0.25">
      <c r="A28" s="3"/>
      <c r="B28" s="86" t="s">
        <v>0</v>
      </c>
      <c r="C28" s="87">
        <v>1</v>
      </c>
      <c r="D28" s="61" t="str">
        <f>IF(VLOOKUP(CONCATENATE(B28,"-",C28),Languages!$A:$D,1,TRUE)=CONCATENATE(B28,"-",C28),VLOOKUP(CONCATENATE(B28,"-",C28),Languages!$A:$D,Summary!$C$7,TRUE),NA())</f>
        <v>Kyberriskienhallinnan suunnitelma</v>
      </c>
      <c r="E28" s="62" t="str">
        <f ca="1">VLOOKUP(VLOOKUP(CONCATENATE(B28,"-",C28),Data!$K:$O,5,FALSE),Parameters!$C$7:$F$10,Summary!$C$7,FALSE)</f>
        <v>Kypsyystaso 0</v>
      </c>
      <c r="F28" s="75"/>
      <c r="G28" s="57"/>
      <c r="H28" s="56"/>
      <c r="I28" s="83"/>
      <c r="J28" s="29"/>
      <c r="K28" s="3"/>
    </row>
    <row r="29" spans="1:15" ht="19.95" customHeight="1" x14ac:dyDescent="0.25">
      <c r="A29" s="3"/>
      <c r="B29" s="86" t="s">
        <v>0</v>
      </c>
      <c r="C29" s="87">
        <v>2</v>
      </c>
      <c r="D29" s="61" t="str">
        <f>IF(VLOOKUP(CONCATENATE(B29,"-",C29),Languages!$A:$D,1,TRUE)=CONCATENATE(B29,"-",C29),VLOOKUP(CONCATENATE(B29,"-",C29),Languages!$A:$D,Summary!$C$7,TRUE),NA())</f>
        <v>Kyberriskien tunnistaminen</v>
      </c>
      <c r="E29" s="62" t="str">
        <f ca="1">VLOOKUP(VLOOKUP(CONCATENATE(B29,"-",C29),Data!$K:$O,5,FALSE),Parameters!$C$7:$F$10,Summary!$C$7,FALSE)</f>
        <v>Kypsyystaso 0</v>
      </c>
      <c r="F29" s="81" t="s">
        <v>77</v>
      </c>
      <c r="G29" s="89" t="str">
        <f>IF(VLOOKUP(F29,Languages!$A:$D,1,TRUE)=F29,VLOOKUP(F29,Languages!$A:$D,Summary!$C$7,TRUE),NA())</f>
        <v>Kyberturvallisuusarkkitehtuuri (ARCHITECTURE)</v>
      </c>
      <c r="H29" s="90" t="str">
        <f ca="1">VLOOKUP(VLOOKUP(CONCATENATE(F29),Data!$K:$O,5,FALSE),Parameters!$C$7:$F$10,Summary!$C$7,FALSE)</f>
        <v>Kypsyystaso 0</v>
      </c>
      <c r="I29" s="68"/>
      <c r="J29" s="29"/>
      <c r="K29" s="3"/>
    </row>
    <row r="30" spans="1:15" ht="19.95" customHeight="1" x14ac:dyDescent="0.25">
      <c r="A30" s="3"/>
      <c r="B30" s="86" t="s">
        <v>0</v>
      </c>
      <c r="C30" s="87">
        <v>3</v>
      </c>
      <c r="D30" s="61" t="str">
        <f>IF(VLOOKUP(CONCATENATE(B30,"-",C30),Languages!$A:$D,1,TRUE)=CONCATENATE(B30,"-",C30),VLOOKUP(CONCATENATE(B30,"-",C30),Languages!$A:$D,Summary!$C$7,TRUE),NA())</f>
        <v>Riskien analysointi</v>
      </c>
      <c r="E30" s="62" t="str">
        <f ca="1">VLOOKUP(VLOOKUP(CONCATENATE(B30,"-",C30),Data!$K:$O,5,FALSE),Parameters!$C$7:$F$10,Summary!$C$7,FALSE)</f>
        <v>Kypsyystaso 0</v>
      </c>
      <c r="F30" s="88">
        <v>1</v>
      </c>
      <c r="G30" s="61" t="str">
        <f>IF(VLOOKUP(CONCATENATE(I30,"-",F30),Languages!$A:$D,1,TRUE)=CONCATENATE(I30,"-",F30),VLOOKUP(CONCATENATE(I30,"-",F30),Languages!$A:$D,Summary!$C$7,TRUE),NA())</f>
        <v>Kyberarkkitehtuurin kehittäminen</v>
      </c>
      <c r="H30" s="62" t="str">
        <f ca="1">VLOOKUP(VLOOKUP(CONCATENATE(I30,"-",F30),Data!$K:$O,5,FALSE),Parameters!$C$7:$F$10,Summary!$C$7,FALSE)</f>
        <v>Kypsyystaso 0</v>
      </c>
      <c r="I30" s="82" t="s">
        <v>77</v>
      </c>
      <c r="J30" s="29"/>
      <c r="K30" s="3"/>
    </row>
    <row r="31" spans="1:15" ht="19.95" customHeight="1" x14ac:dyDescent="0.25">
      <c r="A31" s="3"/>
      <c r="B31" s="86" t="s">
        <v>0</v>
      </c>
      <c r="C31" s="87">
        <v>4</v>
      </c>
      <c r="D31" s="61" t="str">
        <f>IF(VLOOKUP(CONCATENATE(B31,"-",C31),Languages!$A:$D,1,TRUE)=CONCATENATE(B31,"-",C31),VLOOKUP(CONCATENATE(B31,"-",C31),Languages!$A:$D,Summary!$C$7,TRUE),NA())</f>
        <v>Riskeihin reagointi</v>
      </c>
      <c r="E31" s="62" t="str">
        <f ca="1">VLOOKUP(VLOOKUP(CONCATENATE(B31,"-",C31),Data!$K:$O,5,FALSE),Parameters!$C$7:$F$10,Summary!$C$7,FALSE)</f>
        <v>Kypsyystaso 0</v>
      </c>
      <c r="F31" s="88">
        <v>2</v>
      </c>
      <c r="G31" s="61" t="str">
        <f>IF(VLOOKUP(CONCATENATE(I31,"-",F31),Languages!$A:$D,1,TRUE)=CONCATENATE(I31,"-",F31),VLOOKUP(CONCATENATE(I31,"-",F31),Languages!$A:$D,Summary!$C$7,TRUE),NA())</f>
        <v>Tietoverkkojen suojaus osana kyberarkkitehtuuria</v>
      </c>
      <c r="H31" s="62" t="str">
        <f ca="1">VLOOKUP(VLOOKUP(CONCATENATE(I31,"-",F31),Data!$K:$O,5,FALSE),Parameters!$C$7:$F$10,Summary!$C$7,FALSE)</f>
        <v>Kypsyystaso 0</v>
      </c>
      <c r="I31" s="82" t="s">
        <v>77</v>
      </c>
      <c r="J31" s="29"/>
      <c r="K31" s="3"/>
    </row>
    <row r="32" spans="1:15" ht="19.95" customHeight="1" x14ac:dyDescent="0.25">
      <c r="A32" s="3"/>
      <c r="B32" s="86" t="s">
        <v>0</v>
      </c>
      <c r="C32" s="81">
        <v>5</v>
      </c>
      <c r="D32" s="61" t="str">
        <f>IF(VLOOKUP(CONCATENATE(B32,"-",C32),Languages!$A:$D,1,TRUE)=CONCATENATE(B32,"-",C32),VLOOKUP(CONCATENATE(B32,"-",C32),Languages!$A:$D,Summary!$C$7,TRUE),NA())</f>
        <v>Yleisiä hallintatoimia</v>
      </c>
      <c r="E32" s="62" t="str">
        <f ca="1">VLOOKUP(VLOOKUP(CONCATENATE(B32,"-",C32),Data!$K:$O,5,FALSE),Parameters!$C$7:$F$10,Summary!$C$7,FALSE)</f>
        <v>Kypsyystaso 1</v>
      </c>
      <c r="F32" s="88">
        <v>3</v>
      </c>
      <c r="G32" s="61" t="str">
        <f>IF(VLOOKUP(CONCATENATE(I32,"-",F32),Languages!$A:$D,1,TRUE)=CONCATENATE(I32,"-",F32),VLOOKUP(CONCATENATE(I32,"-",F32),Languages!$A:$D,Summary!$C$7,TRUE),NA())</f>
        <v>Laitteiden ja ohjelmistojen turvallisuus osana kyberarkkitehtuuria</v>
      </c>
      <c r="H32" s="62" t="str">
        <f ca="1">VLOOKUP(VLOOKUP(CONCATENATE(I32,"-",F32),Data!$K:$O,5,FALSE),Parameters!$C$7:$F$10,Summary!$C$7,FALSE)</f>
        <v>Kypsyystaso 0</v>
      </c>
      <c r="I32" s="82" t="s">
        <v>77</v>
      </c>
      <c r="J32" s="29"/>
      <c r="K32" s="3"/>
    </row>
    <row r="33" spans="1:15" ht="19.95" customHeight="1" x14ac:dyDescent="0.25">
      <c r="A33" s="3"/>
      <c r="B33" s="86"/>
      <c r="C33" s="87"/>
      <c r="D33" s="57"/>
      <c r="E33" s="56"/>
      <c r="F33" s="75">
        <v>4</v>
      </c>
      <c r="G33" s="61" t="str">
        <f>IF(VLOOKUP(CONCATENATE(I33,"-",F33),Languages!$A:$D,1,TRUE)=CONCATENATE(I33,"-",F33),VLOOKUP(CONCATENATE(I33,"-",F33),Languages!$A:$D,Summary!$C$7,TRUE),NA())</f>
        <v>Sovellusturvallisuus osana kyberarkkitehtuuria</v>
      </c>
      <c r="H33" s="62" t="str">
        <f ca="1">VLOOKUP(VLOOKUP(CONCATENATE(I33,"-",F33),Data!$K:$O,5,FALSE),Parameters!$C$7:$F$10,Summary!$C$7,FALSE)</f>
        <v>Kypsyystaso 1</v>
      </c>
      <c r="I33" s="82" t="s">
        <v>77</v>
      </c>
      <c r="J33" s="29"/>
      <c r="K33" s="3"/>
    </row>
    <row r="34" spans="1:15" ht="19.95" customHeight="1" x14ac:dyDescent="0.25">
      <c r="A34" s="3"/>
      <c r="B34" s="86"/>
      <c r="C34" s="87" t="s">
        <v>59</v>
      </c>
      <c r="D34" s="89" t="str">
        <f>IF(VLOOKUP(C34,Languages!$A:$D,1,TRUE)=C34,VLOOKUP(C34,Languages!$A:$D,Summary!$C$7,TRUE),NA())</f>
        <v>Identiteetin- ja pääsynhallinta (ACCESS)</v>
      </c>
      <c r="E34" s="90" t="str">
        <f ca="1">VLOOKUP(VLOOKUP(CONCATENATE(C34),Data!$K:$O,5,FALSE),Parameters!$C$7:$F$10,Summary!$C$7,FALSE)</f>
        <v>Kypsyystaso 0</v>
      </c>
      <c r="F34" s="75">
        <v>5</v>
      </c>
      <c r="G34" s="61" t="str">
        <f>IF(VLOOKUP(CONCATENATE(I34,"-",F34),Languages!$A:$D,1,TRUE)=CONCATENATE(I34,"-",F34),VLOOKUP(CONCATENATE(I34,"-",F34),Languages!$A:$D,Summary!$C$7,TRUE),NA())</f>
        <v>Tietojen suojaus osana kyberarkkitehtuuria</v>
      </c>
      <c r="H34" s="62" t="str">
        <f ca="1">VLOOKUP(VLOOKUP(CONCATENATE(I34,"-",F34),Data!$K:$O,5,FALSE),Parameters!$C$7:$F$10,Summary!$C$7,FALSE)</f>
        <v>Kypsyystaso 0</v>
      </c>
      <c r="I34" s="82" t="s">
        <v>77</v>
      </c>
      <c r="J34" s="29"/>
      <c r="K34" s="3"/>
    </row>
    <row r="35" spans="1:15" ht="19.95" customHeight="1" x14ac:dyDescent="0.25">
      <c r="A35" s="3"/>
      <c r="B35" s="86" t="s">
        <v>59</v>
      </c>
      <c r="C35" s="87">
        <v>1</v>
      </c>
      <c r="D35" s="61" t="str">
        <f>IF(VLOOKUP(CONCATENATE(B35,"-",C35),Languages!$A:$D,1,TRUE)=CONCATENATE(B35,"-",C35),VLOOKUP(CONCATENATE(B35,"-",C35),Languages!$A:$D,Summary!$C$7,TRUE),NA())</f>
        <v>Identiteettien luominen ja hallinta</v>
      </c>
      <c r="E35" s="62" t="str">
        <f ca="1">VLOOKUP(VLOOKUP(CONCATENATE(B35,"-",C35),Data!$K:$O,5,FALSE),Parameters!$C$7:$F$10,Summary!$C$7,FALSE)</f>
        <v>Kypsyystaso 0</v>
      </c>
      <c r="F35" s="75">
        <v>6</v>
      </c>
      <c r="G35" s="61" t="str">
        <f>IF(VLOOKUP(CONCATENATE(I35,"-",F35),Languages!$A:$D,1,TRUE)=CONCATENATE(I35,"-",F35),VLOOKUP(CONCATENATE(I35,"-",F35),Languages!$A:$D,Summary!$C$7,TRUE),NA())</f>
        <v>Yleisiä hallintatoimia</v>
      </c>
      <c r="H35" s="62" t="str">
        <f ca="1">VLOOKUP(VLOOKUP(CONCATENATE(I35,"-",F35),Data!$K:$O,5,FALSE),Parameters!$C$7:$F$10,Summary!$C$7,FALSE)</f>
        <v>Kypsyystaso 1</v>
      </c>
      <c r="I35" s="82" t="s">
        <v>77</v>
      </c>
      <c r="J35" s="29"/>
      <c r="K35" s="3"/>
    </row>
    <row r="36" spans="1:15" ht="19.95" customHeight="1" x14ac:dyDescent="0.25">
      <c r="A36" s="3"/>
      <c r="B36" s="86" t="s">
        <v>59</v>
      </c>
      <c r="C36" s="87">
        <v>2</v>
      </c>
      <c r="D36" s="61" t="str">
        <f>IF(VLOOKUP(CONCATENATE(B36,"-",C36),Languages!$A:$D,1,TRUE)=CONCATENATE(B36,"-",C36),VLOOKUP(CONCATENATE(B36,"-",C36),Languages!$A:$D,Summary!$C$7,TRUE),NA())</f>
        <v>Loogisten käyttöoikeuksien hallinta</v>
      </c>
      <c r="E36" s="62" t="str">
        <f ca="1">VLOOKUP(VLOOKUP(CONCATENATE(B36,"-",C36),Data!$K:$O,5,FALSE),Parameters!$C$7:$F$10,Summary!$C$7,FALSE)</f>
        <v>Kypsyystaso 0</v>
      </c>
      <c r="J36" s="29"/>
      <c r="K36" s="3"/>
    </row>
    <row r="37" spans="1:15" ht="19.95" customHeight="1" x14ac:dyDescent="0.25">
      <c r="A37" s="3"/>
      <c r="B37" s="86" t="s">
        <v>59</v>
      </c>
      <c r="C37" s="81">
        <v>3</v>
      </c>
      <c r="D37" s="61" t="str">
        <f>IF(VLOOKUP(CONCATENATE(B37,"-",C37),Languages!$A:$D,1,TRUE)=CONCATENATE(B37,"-",C37),VLOOKUP(CONCATENATE(B37,"-",C37),Languages!$A:$D,Summary!$C$7,TRUE),NA())</f>
        <v>Fyysinen pääsynhallinta</v>
      </c>
      <c r="E37" s="62" t="str">
        <f ca="1">VLOOKUP(VLOOKUP(CONCATENATE(B37,"-",C37),Data!$K:$O,5,FALSE),Parameters!$C$7:$F$10,Summary!$C$7,FALSE)</f>
        <v>Kypsyystaso 0</v>
      </c>
      <c r="F37" s="81" t="s">
        <v>79</v>
      </c>
      <c r="G37" s="89" t="str">
        <f>IF(VLOOKUP(F37,Languages!$A:$D,1,TRUE)=F37,VLOOKUP(F37,Languages!$A:$D,Summary!$C$7,TRUE),NA())</f>
        <v>Kyberturvallisuuden hallinta (PROGRAM)</v>
      </c>
      <c r="H37" s="90" t="str">
        <f ca="1">VLOOKUP(VLOOKUP(CONCATENATE(F37),Data!$K:$O,5,FALSE),Parameters!$C$7:$F$10,Summary!$C$7,FALSE)</f>
        <v>Kypsyystaso 0</v>
      </c>
      <c r="I37" s="68"/>
      <c r="J37" s="29"/>
      <c r="K37" s="3"/>
    </row>
    <row r="38" spans="1:15" ht="19.95" customHeight="1" x14ac:dyDescent="0.25">
      <c r="A38" s="3"/>
      <c r="B38" s="86" t="s">
        <v>59</v>
      </c>
      <c r="C38" s="87">
        <v>4</v>
      </c>
      <c r="D38" s="61" t="str">
        <f>IF(VLOOKUP(CONCATENATE(B38,"-",C38),Languages!$A:$D,1,TRUE)=CONCATENATE(B38,"-",C38),VLOOKUP(CONCATENATE(B38,"-",C38),Languages!$A:$D,Summary!$C$7,TRUE),NA())</f>
        <v>Yleisiä hallintatoimia</v>
      </c>
      <c r="E38" s="62" t="str">
        <f ca="1">VLOOKUP(VLOOKUP(CONCATENATE(B38,"-",C38),Data!$K:$O,5,FALSE),Parameters!$C$7:$F$10,Summary!$C$7,FALSE)</f>
        <v>Kypsyystaso 1</v>
      </c>
      <c r="F38" s="88">
        <v>1</v>
      </c>
      <c r="G38" s="61" t="str">
        <f>IF(VLOOKUP(CONCATENATE(I38,"-",F38),Languages!$A:$D,1,TRUE)=CONCATENATE(I38,"-",F38),VLOOKUP(CONCATENATE(I38,"-",F38),Languages!$A:$D,Summary!$C$7,TRUE),NA())</f>
        <v>Kyberturvallisuusstrategia</v>
      </c>
      <c r="H38" s="62" t="str">
        <f ca="1">VLOOKUP(VLOOKUP(CONCATENATE(I38,"-",F38),Data!$K:$O,5,FALSE),Parameters!$C$7:$F$10,Summary!$C$7,FALSE)</f>
        <v>Kypsyystaso 0</v>
      </c>
      <c r="I38" s="82" t="s">
        <v>79</v>
      </c>
      <c r="J38" s="29"/>
      <c r="K38" s="3"/>
    </row>
    <row r="39" spans="1:15" ht="19.95" customHeight="1" x14ac:dyDescent="0.25">
      <c r="A39" s="3"/>
      <c r="B39" s="86" t="s">
        <v>59</v>
      </c>
      <c r="C39" s="87">
        <v>4</v>
      </c>
      <c r="F39" s="88">
        <v>2</v>
      </c>
      <c r="G39" s="61" t="str">
        <f>IF(VLOOKUP(CONCATENATE(I39,"-",F39),Languages!$A:$D,1,TRUE)=CONCATENATE(I39,"-",F39),VLOOKUP(CONCATENATE(I39,"-",F39),Languages!$A:$D,Summary!$C$7,TRUE),NA())</f>
        <v>Johdon tuki kyberturvallisuusohjelmalle</v>
      </c>
      <c r="H39" s="62" t="str">
        <f ca="1">VLOOKUP(VLOOKUP(CONCATENATE(I39,"-",F39),Data!$K:$O,5,FALSE),Parameters!$C$7:$F$10,Summary!$C$7,FALSE)</f>
        <v>Kypsyystaso 0</v>
      </c>
      <c r="I39" s="82" t="s">
        <v>79</v>
      </c>
      <c r="J39" s="29"/>
      <c r="K39" s="3"/>
    </row>
    <row r="40" spans="1:15" ht="19.95" customHeight="1" x14ac:dyDescent="0.25">
      <c r="A40" s="3"/>
      <c r="B40" s="86"/>
      <c r="C40" s="87" t="s">
        <v>67</v>
      </c>
      <c r="D40" s="89" t="str">
        <f>IF(VLOOKUP(C40,Languages!$A:$D,1,TRUE)=C40,VLOOKUP(C40,Languages!$A:$D,Summary!$C$7,TRUE),NA())</f>
        <v>Tilannekuva (SITUATION)</v>
      </c>
      <c r="E40" s="90" t="str">
        <f ca="1">VLOOKUP(VLOOKUP(CONCATENATE(C40),Data!$K:$O,5,FALSE),Parameters!$C$7:$F$10,Summary!$C$7,FALSE)</f>
        <v>Kypsyystaso 0</v>
      </c>
      <c r="F40" s="88">
        <v>3</v>
      </c>
      <c r="G40" s="61" t="str">
        <f>IF(VLOOKUP(CONCATENATE(I40,"-",F40),Languages!$A:$D,1,TRUE)=CONCATENATE(I40,"-",F40),VLOOKUP(CONCATENATE(I40,"-",F40),Languages!$A:$D,Summary!$C$7,TRUE),NA())</f>
        <v>Yleisiä hallintatoimia</v>
      </c>
      <c r="H40" s="62" t="str">
        <f ca="1">VLOOKUP(VLOOKUP(CONCATENATE(I40,"-",F40),Data!$K:$O,5,FALSE),Parameters!$C$7:$F$10,Summary!$C$7,FALSE)</f>
        <v>Kypsyystaso 1</v>
      </c>
      <c r="I40" s="82" t="s">
        <v>79</v>
      </c>
      <c r="J40" s="29"/>
      <c r="K40" s="3"/>
    </row>
    <row r="41" spans="1:15" ht="19.95" customHeight="1" x14ac:dyDescent="0.25">
      <c r="A41" s="3"/>
      <c r="B41" s="86" t="s">
        <v>67</v>
      </c>
      <c r="C41" s="87">
        <v>1</v>
      </c>
      <c r="D41" s="61" t="str">
        <f>IF(VLOOKUP(CONCATENATE(B41,"-",C41),Languages!$A:$D,1,TRUE)=CONCATENATE(B41,"-",C41),VLOOKUP(CONCATENATE(B41,"-",C41),Languages!$A:$D,Summary!$C$7,TRUE),NA())</f>
        <v>Lokienhallinta</v>
      </c>
      <c r="E41" s="62" t="str">
        <f ca="1">VLOOKUP(VLOOKUP(CONCATENATE(B41,"-",C41),Data!$K:$O,5,FALSE),Parameters!$C$7:$F$10,Summary!$C$7,FALSE)</f>
        <v>Kypsyystaso 0</v>
      </c>
      <c r="F41" s="75">
        <v>4</v>
      </c>
      <c r="G41" s="61"/>
      <c r="H41" s="62"/>
      <c r="I41" s="82"/>
      <c r="J41" s="29"/>
      <c r="K41" s="3"/>
    </row>
    <row r="42" spans="1:15" ht="19.95" customHeight="1" x14ac:dyDescent="0.25">
      <c r="A42" s="3"/>
      <c r="B42" s="86" t="s">
        <v>67</v>
      </c>
      <c r="C42" s="87">
        <v>2</v>
      </c>
      <c r="D42" s="61" t="str">
        <f>IF(VLOOKUP(CONCATENATE(B42,"-",C42),Languages!$A:$D,1,TRUE)=CONCATENATE(B42,"-",C42),VLOOKUP(CONCATENATE(B42,"-",C42),Languages!$A:$D,Summary!$C$7,TRUE),NA())</f>
        <v>Ympäristöjen valvonta</v>
      </c>
      <c r="E42" s="62" t="str">
        <f ca="1">VLOOKUP(VLOOKUP(CONCATENATE(B42,"-",C42),Data!$K:$O,5,FALSE),Parameters!$C$7:$F$10,Summary!$C$7,FALSE)</f>
        <v>Kypsyystaso 0</v>
      </c>
      <c r="F42" s="28"/>
      <c r="G42" s="28"/>
      <c r="H42" s="28"/>
      <c r="I42" s="84"/>
      <c r="J42" s="29"/>
      <c r="K42" s="3"/>
    </row>
    <row r="43" spans="1:15" ht="19.95" customHeight="1" x14ac:dyDescent="0.25">
      <c r="A43" s="3"/>
      <c r="B43" s="86" t="s">
        <v>67</v>
      </c>
      <c r="C43" s="87">
        <v>3</v>
      </c>
      <c r="D43" s="61" t="str">
        <f>IF(VLOOKUP(CONCATENATE(B43,"-",C43),Languages!$A:$D,1,TRUE)=CONCATENATE(B43,"-",C43),VLOOKUP(CONCATENATE(B43,"-",C43),Languages!$A:$D,Summary!$C$7,TRUE),NA())</f>
        <v>Tilannekuvan ylläpito</v>
      </c>
      <c r="E43" s="62" t="str">
        <f ca="1">VLOOKUP(VLOOKUP(CONCATENATE(B43,"-",C43),Data!$K:$O,5,FALSE),Parameters!$C$7:$F$10,Summary!$C$7,FALSE)</f>
        <v>Kypsyystaso 1</v>
      </c>
      <c r="F43" s="28"/>
      <c r="G43" s="28"/>
      <c r="H43" s="28"/>
      <c r="I43" s="84"/>
      <c r="J43" s="29"/>
      <c r="K43" s="3"/>
    </row>
    <row r="44" spans="1:15" ht="19.95" customHeight="1" x14ac:dyDescent="0.25">
      <c r="A44" s="3"/>
      <c r="B44" s="86" t="s">
        <v>67</v>
      </c>
      <c r="C44" s="87">
        <v>4</v>
      </c>
      <c r="D44" s="61" t="str">
        <f>IF(VLOOKUP(CONCATENATE(B44,"-",C44),Languages!$A:$D,1,TRUE)=CONCATENATE(B44,"-",C44),VLOOKUP(CONCATENATE(B44,"-",C44),Languages!$A:$D,Summary!$C$7,TRUE),NA())</f>
        <v>Yleisiä hallintatoimia</v>
      </c>
      <c r="E44" s="62" t="str">
        <f ca="1">VLOOKUP(VLOOKUP(CONCATENATE(B44,"-",C44),Data!$K:$O,5,FALSE),Parameters!$C$7:$F$10,Summary!$C$7,FALSE)</f>
        <v>Kypsyystaso 1</v>
      </c>
      <c r="F44" s="28"/>
      <c r="G44" s="28"/>
      <c r="H44" s="28"/>
      <c r="I44" s="84"/>
      <c r="J44" s="29"/>
      <c r="K44" s="3"/>
    </row>
    <row r="45" spans="1:15" s="17" customFormat="1" ht="30" customHeight="1" x14ac:dyDescent="0.25">
      <c r="A45" s="26"/>
      <c r="B45" s="30"/>
      <c r="C45" s="37"/>
      <c r="E45" s="33"/>
      <c r="F45" s="33"/>
      <c r="G45" s="33"/>
      <c r="H45" s="33"/>
      <c r="I45" s="33"/>
      <c r="J45" s="31"/>
      <c r="K45" s="26"/>
      <c r="L45" s="46"/>
      <c r="M45" s="77"/>
      <c r="N45" s="77"/>
      <c r="O45" s="77"/>
    </row>
    <row r="46" spans="1:15" s="13" customFormat="1" ht="15" customHeight="1" x14ac:dyDescent="0.25">
      <c r="A46" s="12"/>
      <c r="B46" s="14"/>
      <c r="C46" s="18"/>
      <c r="D46" s="18"/>
      <c r="E46" s="50"/>
      <c r="F46" s="19"/>
      <c r="G46" s="19"/>
      <c r="H46" s="19"/>
      <c r="I46" s="19"/>
      <c r="J46" s="15"/>
      <c r="K46" s="12"/>
      <c r="L46" s="46"/>
      <c r="M46" s="77"/>
      <c r="N46" s="77"/>
      <c r="O46" s="77"/>
    </row>
    <row r="47" spans="1:15" s="13" customFormat="1" ht="18" customHeight="1" x14ac:dyDescent="0.25">
      <c r="A47" s="12"/>
      <c r="B47" s="12"/>
      <c r="C47" s="12"/>
      <c r="D47" s="16"/>
      <c r="E47" s="16"/>
      <c r="F47" s="12"/>
      <c r="G47" s="12"/>
      <c r="H47" s="12"/>
      <c r="I47" s="12"/>
      <c r="J47" s="12"/>
      <c r="K47" s="12"/>
      <c r="L47" s="46"/>
      <c r="M47" s="77"/>
      <c r="N47" s="77"/>
      <c r="O47" s="77"/>
    </row>
  </sheetData>
  <sheetProtection sheet="1" formatCells="0" formatColumns="0" formatRows="0"/>
  <mergeCells count="2">
    <mergeCell ref="D6:G6"/>
    <mergeCell ref="N4:N8"/>
  </mergeCells>
  <conditionalFormatting sqref="I10">
    <cfRule type="containsText" dxfId="93" priority="131" operator="containsText" text="1">
      <formula>NOT(ISERROR(SEARCH("1",I10)))</formula>
    </cfRule>
    <cfRule type="containsText" dxfId="92" priority="132" operator="containsText" text="0">
      <formula>NOT(ISERROR(SEARCH("0",I10)))</formula>
    </cfRule>
  </conditionalFormatting>
  <conditionalFormatting sqref="I37">
    <cfRule type="containsText" dxfId="91" priority="123" operator="containsText" text="1">
      <formula>NOT(ISERROR(SEARCH("1",I37)))</formula>
    </cfRule>
    <cfRule type="containsText" dxfId="90" priority="124" operator="containsText" text="0">
      <formula>NOT(ISERROR(SEARCH("0",I37)))</formula>
    </cfRule>
  </conditionalFormatting>
  <conditionalFormatting sqref="I17">
    <cfRule type="containsText" dxfId="89" priority="129" operator="containsText" text="1">
      <formula>NOT(ISERROR(SEARCH("1",I17)))</formula>
    </cfRule>
    <cfRule type="containsText" dxfId="88" priority="130" operator="containsText" text="0">
      <formula>NOT(ISERROR(SEARCH("0",I17)))</formula>
    </cfRule>
  </conditionalFormatting>
  <conditionalFormatting sqref="I22">
    <cfRule type="containsText" dxfId="87" priority="127" operator="containsText" text="1">
      <formula>NOT(ISERROR(SEARCH("1",I22)))</formula>
    </cfRule>
    <cfRule type="containsText" dxfId="86" priority="128" operator="containsText" text="0">
      <formula>NOT(ISERROR(SEARCH("0",I22)))</formula>
    </cfRule>
  </conditionalFormatting>
  <conditionalFormatting sqref="I29">
    <cfRule type="containsText" dxfId="85" priority="125" operator="containsText" text="1">
      <formula>NOT(ISERROR(SEARCH("1",I29)))</formula>
    </cfRule>
    <cfRule type="containsText" dxfId="84" priority="126" operator="containsText" text="0">
      <formula>NOT(ISERROR(SEARCH("0",I29)))</formula>
    </cfRule>
  </conditionalFormatting>
  <conditionalFormatting sqref="E10">
    <cfRule type="containsText" dxfId="83" priority="107" operator="containsText" text="3">
      <formula>NOT(ISERROR(SEARCH("3",E10)))</formula>
    </cfRule>
    <cfRule type="containsText" dxfId="82" priority="108" operator="containsText" text="2">
      <formula>NOT(ISERROR(SEARCH("2",E10)))</formula>
    </cfRule>
    <cfRule type="containsText" dxfId="81" priority="109" operator="containsText" text="1">
      <formula>NOT(ISERROR(SEARCH("1",E10)))</formula>
    </cfRule>
    <cfRule type="containsText" dxfId="80" priority="110" operator="containsText" text="0">
      <formula>NOT(ISERROR(SEARCH("0",E10)))</formula>
    </cfRule>
  </conditionalFormatting>
  <conditionalFormatting sqref="H37 H29 H22 H17 H10 E15 E22 E27">
    <cfRule type="containsText" dxfId="79" priority="13" operator="containsText" text="3">
      <formula>NOT(ISERROR(SEARCH("3",E10)))</formula>
    </cfRule>
    <cfRule type="containsText" dxfId="78" priority="14" operator="containsText" text="2">
      <formula>NOT(ISERROR(SEARCH("2",E10)))</formula>
    </cfRule>
    <cfRule type="containsText" dxfId="77" priority="15" operator="containsText" text="1">
      <formula>NOT(ISERROR(SEARCH("1",E10)))</formula>
    </cfRule>
    <cfRule type="containsText" dxfId="76" priority="16" operator="containsText" text="0">
      <formula>NOT(ISERROR(SEARCH("0",E10)))</formula>
    </cfRule>
  </conditionalFormatting>
  <conditionalFormatting sqref="E34">
    <cfRule type="containsText" dxfId="75" priority="9" operator="containsText" text="3">
      <formula>NOT(ISERROR(SEARCH("3",E34)))</formula>
    </cfRule>
    <cfRule type="containsText" dxfId="74" priority="10" operator="containsText" text="2">
      <formula>NOT(ISERROR(SEARCH("2",E34)))</formula>
    </cfRule>
    <cfRule type="containsText" dxfId="73" priority="11" operator="containsText" text="1">
      <formula>NOT(ISERROR(SEARCH("1",E34)))</formula>
    </cfRule>
    <cfRule type="containsText" dxfId="72" priority="12" operator="containsText" text="0">
      <formula>NOT(ISERROR(SEARCH("0",E34)))</formula>
    </cfRule>
  </conditionalFormatting>
  <conditionalFormatting sqref="E40">
    <cfRule type="containsText" dxfId="71" priority="1" operator="containsText" text="3">
      <formula>NOT(ISERROR(SEARCH("3",E40)))</formula>
    </cfRule>
    <cfRule type="containsText" dxfId="70" priority="2" operator="containsText" text="2">
      <formula>NOT(ISERROR(SEARCH("2",E40)))</formula>
    </cfRule>
    <cfRule type="containsText" dxfId="69" priority="3" operator="containsText" text="1">
      <formula>NOT(ISERROR(SEARCH("1",E40)))</formula>
    </cfRule>
    <cfRule type="containsText" dxfId="68" priority="4" operator="containsText" text="0">
      <formula>NOT(ISERROR(SEARCH("0",E40)))</formula>
    </cfRule>
  </conditionalFormatting>
  <pageMargins left="0.70866141732283472" right="0.70866141732283472" top="0.74803149606299213" bottom="0.74803149606299213" header="0.31496062992125984" footer="0.31496062992125984"/>
  <pageSetup paperSize="9" scale="4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8B1"/>
  </sheetPr>
  <dimension ref="A1:W118"/>
  <sheetViews>
    <sheetView showGridLines="0" zoomScale="80" zoomScaleNormal="80" workbookViewId="0"/>
  </sheetViews>
  <sheetFormatPr defaultRowHeight="22.2" x14ac:dyDescent="0.35"/>
  <cols>
    <col min="1" max="2" width="1.6328125" customWidth="1"/>
    <col min="3" max="3" width="2.6328125" customWidth="1"/>
    <col min="4" max="4" width="12.6328125" style="629" customWidth="1"/>
    <col min="5" max="5" width="5.6328125" style="629" customWidth="1"/>
    <col min="6" max="6" width="18.6328125" style="629" customWidth="1"/>
    <col min="7" max="7" width="35.6328125" style="629" customWidth="1"/>
    <col min="8" max="8" width="8.6328125" style="629" customWidth="1"/>
    <col min="9" max="9" width="55.6328125" style="629" customWidth="1"/>
    <col min="10" max="10" width="12.6328125" style="630" customWidth="1"/>
    <col min="11" max="11" width="8.6328125" style="630" customWidth="1"/>
    <col min="12" max="12" width="8.6328125" style="629" customWidth="1"/>
    <col min="13" max="13" width="3.6328125" style="629" customWidth="1"/>
    <col min="14" max="14" width="8.6328125" style="629" customWidth="1"/>
    <col min="15" max="15" width="3.6328125" style="629" customWidth="1"/>
    <col min="16" max="16" width="8.6328125" style="629" customWidth="1"/>
    <col min="17" max="17" width="3.6328125" style="629" customWidth="1"/>
    <col min="18" max="19" width="1.6328125" customWidth="1"/>
    <col min="20" max="20" width="2.6328125" style="46" customWidth="1"/>
    <col min="21" max="21" width="1.6328125" style="77" customWidth="1"/>
    <col min="22" max="22" width="80.6328125" style="77" customWidth="1"/>
    <col min="23" max="23" width="1.6328125" style="77" customWidth="1"/>
  </cols>
  <sheetData>
    <row r="1" spans="1:23" ht="13.5" customHeight="1" x14ac:dyDescent="0.25">
      <c r="A1" s="3"/>
      <c r="B1" s="3"/>
      <c r="C1" s="3"/>
      <c r="D1" s="3"/>
      <c r="E1" s="3"/>
      <c r="F1" s="3"/>
      <c r="G1" s="3"/>
      <c r="H1" s="3"/>
      <c r="I1" s="3"/>
      <c r="J1" s="3"/>
      <c r="K1" s="3"/>
      <c r="L1" s="3"/>
      <c r="M1" s="3"/>
      <c r="N1" s="3"/>
      <c r="O1" s="3"/>
      <c r="P1" s="3"/>
      <c r="Q1" s="3"/>
      <c r="R1" s="3"/>
      <c r="S1" s="3"/>
      <c r="T1" s="43"/>
      <c r="U1" s="3"/>
      <c r="V1" s="3"/>
      <c r="W1" s="3"/>
    </row>
    <row r="2" spans="1:23" ht="18" customHeight="1" x14ac:dyDescent="0.25">
      <c r="A2" s="6"/>
      <c r="B2" s="571"/>
      <c r="C2" s="572"/>
      <c r="D2" s="572"/>
      <c r="E2" s="572"/>
      <c r="F2" s="572"/>
      <c r="G2" s="572"/>
      <c r="H2" s="572"/>
      <c r="I2" s="572"/>
      <c r="J2" s="572"/>
      <c r="K2" s="572"/>
      <c r="L2" s="572"/>
      <c r="M2" s="572"/>
      <c r="N2" s="572"/>
      <c r="O2" s="572"/>
      <c r="P2" s="572"/>
      <c r="Q2" s="572"/>
      <c r="R2" s="573"/>
      <c r="S2" s="6"/>
      <c r="T2" s="44"/>
      <c r="U2" s="6"/>
      <c r="V2" s="829" t="s">
        <v>1956</v>
      </c>
      <c r="W2" s="6"/>
    </row>
    <row r="3" spans="1:23" ht="18" customHeight="1" x14ac:dyDescent="0.35">
      <c r="A3" s="3"/>
      <c r="B3" s="574"/>
      <c r="C3" s="575"/>
      <c r="D3" s="576" t="s">
        <v>420</v>
      </c>
      <c r="E3" s="577"/>
      <c r="F3" s="577"/>
      <c r="G3" s="577"/>
      <c r="H3" s="577"/>
      <c r="I3" s="577"/>
      <c r="J3" s="578"/>
      <c r="K3" s="578"/>
      <c r="L3" s="577"/>
      <c r="M3" s="577"/>
      <c r="N3" s="577"/>
      <c r="O3" s="577"/>
      <c r="P3" s="577"/>
      <c r="Q3" s="577"/>
      <c r="R3" s="579"/>
      <c r="S3" s="26"/>
      <c r="T3" s="43"/>
      <c r="U3" s="3"/>
      <c r="V3" s="830"/>
      <c r="W3" s="6"/>
    </row>
    <row r="4" spans="1:23" ht="30" customHeight="1" x14ac:dyDescent="0.35">
      <c r="A4" s="3"/>
      <c r="B4" s="574"/>
      <c r="C4" s="575"/>
      <c r="D4" s="580" t="str">
        <f>IF(VLOOKUP("KM64",Languages!$A:$D,1,TRUE)="KM64",VLOOKUP("KM64",Languages!$A:$D,Summary!$C$7,TRUE),NA())</f>
        <v>Yksityiskohtainen NIST Cybersecurity Framework Core -raportti</v>
      </c>
      <c r="E4" s="577"/>
      <c r="F4" s="577"/>
      <c r="G4" s="577"/>
      <c r="H4" s="577"/>
      <c r="I4" s="577"/>
      <c r="J4" s="578"/>
      <c r="K4" s="578"/>
      <c r="L4" s="577"/>
      <c r="M4" s="577"/>
      <c r="N4" s="577"/>
      <c r="O4" s="577"/>
      <c r="P4" s="577"/>
      <c r="Q4" s="577"/>
      <c r="R4" s="579"/>
      <c r="S4" s="26"/>
      <c r="T4" s="43"/>
      <c r="U4" s="3"/>
      <c r="V4" s="830"/>
      <c r="W4" s="6"/>
    </row>
    <row r="5" spans="1:23" ht="30" customHeight="1" x14ac:dyDescent="0.35">
      <c r="A5" s="3"/>
      <c r="B5" s="574"/>
      <c r="C5" s="575"/>
      <c r="D5" s="581" t="str">
        <f>IF(VLOOKUP("KM65",Languages!$A:$D,1,TRUE)="KM65",VLOOKUP("KM65",Languages!$A:$D,Summary!$C$7,TRUE),NA())</f>
        <v xml:space="preserve"> Perustuen suuntaa-antavaan ristiinkytkentään C2M2 ja NIST CSF-mallien välillä</v>
      </c>
      <c r="E5" s="577"/>
      <c r="F5" s="577"/>
      <c r="G5" s="577"/>
      <c r="H5" s="577"/>
      <c r="I5" s="577"/>
      <c r="J5" s="578"/>
      <c r="K5" s="578"/>
      <c r="L5" s="577"/>
      <c r="M5" s="577"/>
      <c r="N5" s="577"/>
      <c r="O5" s="577"/>
      <c r="P5" s="577"/>
      <c r="Q5" s="577"/>
      <c r="R5" s="579"/>
      <c r="S5" s="26"/>
      <c r="T5" s="43"/>
      <c r="U5" s="3"/>
      <c r="V5" s="1144" t="s">
        <v>3353</v>
      </c>
      <c r="W5" s="6"/>
    </row>
    <row r="6" spans="1:23" ht="15" customHeight="1" thickBot="1" x14ac:dyDescent="0.4">
      <c r="A6" s="3"/>
      <c r="B6" s="574"/>
      <c r="C6" s="575"/>
      <c r="D6" s="581"/>
      <c r="E6" s="577"/>
      <c r="F6" s="577"/>
      <c r="G6" s="577"/>
      <c r="H6" s="577"/>
      <c r="I6" s="577"/>
      <c r="J6" s="578"/>
      <c r="K6" s="578"/>
      <c r="L6" s="577"/>
      <c r="M6" s="577"/>
      <c r="N6" s="577"/>
      <c r="O6" s="577"/>
      <c r="P6" s="577"/>
      <c r="Q6" s="577"/>
      <c r="R6" s="579"/>
      <c r="S6" s="26"/>
      <c r="T6" s="43"/>
      <c r="U6" s="3"/>
      <c r="V6" s="1144"/>
      <c r="W6" s="6"/>
    </row>
    <row r="7" spans="1:23" s="585" customFormat="1" ht="22.05" customHeight="1" thickBot="1" x14ac:dyDescent="0.35">
      <c r="A7" s="582"/>
      <c r="B7" s="583"/>
      <c r="C7" s="584"/>
      <c r="D7" s="1259" t="s">
        <v>1691</v>
      </c>
      <c r="E7" s="1260"/>
      <c r="F7" s="1260"/>
      <c r="G7" s="1260"/>
      <c r="H7" s="1260"/>
      <c r="I7" s="1260"/>
      <c r="J7" s="1261"/>
      <c r="K7" s="1262"/>
      <c r="L7" s="1263"/>
      <c r="M7" s="1263"/>
      <c r="N7" s="1263"/>
      <c r="O7" s="1263"/>
      <c r="P7" s="1263"/>
      <c r="Q7" s="1264"/>
      <c r="R7" s="579"/>
      <c r="S7" s="26"/>
      <c r="T7" s="43"/>
      <c r="U7" s="3"/>
      <c r="V7" s="1144"/>
      <c r="W7" s="6"/>
    </row>
    <row r="8" spans="1:23" s="594" customFormat="1" ht="30" customHeight="1" x14ac:dyDescent="0.2">
      <c r="A8" s="586"/>
      <c r="B8" s="587"/>
      <c r="C8" s="588"/>
      <c r="D8" s="589" t="s">
        <v>601</v>
      </c>
      <c r="E8" s="590" t="s">
        <v>446</v>
      </c>
      <c r="F8" s="591" t="s">
        <v>584</v>
      </c>
      <c r="G8" s="591" t="s">
        <v>1692</v>
      </c>
      <c r="H8" s="590" t="s">
        <v>446</v>
      </c>
      <c r="I8" s="591" t="s">
        <v>1693</v>
      </c>
      <c r="J8" s="592"/>
      <c r="K8" s="593" t="s">
        <v>1951</v>
      </c>
      <c r="L8" s="1265" t="s">
        <v>798</v>
      </c>
      <c r="M8" s="1266"/>
      <c r="N8" s="1267" t="s">
        <v>1952</v>
      </c>
      <c r="O8" s="1266"/>
      <c r="P8" s="1267" t="s">
        <v>800</v>
      </c>
      <c r="Q8" s="1268"/>
      <c r="R8" s="579"/>
      <c r="S8" s="26"/>
      <c r="U8" s="3"/>
      <c r="V8" s="1144"/>
      <c r="W8" s="6"/>
    </row>
    <row r="9" spans="1:23" ht="30" customHeight="1" x14ac:dyDescent="0.25">
      <c r="A9" s="3"/>
      <c r="B9" s="574"/>
      <c r="C9" s="595"/>
      <c r="D9" s="1274" t="s">
        <v>1506</v>
      </c>
      <c r="E9" s="596" t="s">
        <v>1694</v>
      </c>
      <c r="F9" s="597" t="s">
        <v>1695</v>
      </c>
      <c r="G9" s="1269" t="s">
        <v>1696</v>
      </c>
      <c r="H9" s="1096" t="s">
        <v>1548</v>
      </c>
      <c r="I9" s="598" t="s">
        <v>1697</v>
      </c>
      <c r="J9" s="599">
        <f ca="1">IF(K9=0, "", NISTmap!K16)</f>
        <v>0</v>
      </c>
      <c r="K9" s="600">
        <f>NISTmap!L16</f>
        <v>4</v>
      </c>
      <c r="L9" s="601">
        <f ca="1">IF(M9=0, "", NISTmap!N16)</f>
        <v>0</v>
      </c>
      <c r="M9" s="602">
        <f>NISTmap!O16</f>
        <v>1</v>
      </c>
      <c r="N9" s="601">
        <f ca="1">IF(O9=0, "", NISTmap!Q16)</f>
        <v>0</v>
      </c>
      <c r="O9" s="603">
        <f>NISTmap!R16</f>
        <v>1</v>
      </c>
      <c r="P9" s="601">
        <f ca="1">IF(Q9=0, "", NISTmap!T16)</f>
        <v>0</v>
      </c>
      <c r="Q9" s="604">
        <f>NISTmap!U16</f>
        <v>2</v>
      </c>
      <c r="R9" s="579"/>
      <c r="S9" s="26"/>
      <c r="U9" s="3"/>
      <c r="V9" s="1144"/>
      <c r="W9" s="6"/>
    </row>
    <row r="10" spans="1:23" ht="30" customHeight="1" x14ac:dyDescent="0.25">
      <c r="A10" s="3"/>
      <c r="B10" s="574"/>
      <c r="C10" s="595"/>
      <c r="D10" s="1274"/>
      <c r="E10" s="596"/>
      <c r="F10" s="597" t="s">
        <v>1698</v>
      </c>
      <c r="G10" s="1269"/>
      <c r="H10" s="1097" t="s">
        <v>1549</v>
      </c>
      <c r="I10" s="598" t="s">
        <v>1699</v>
      </c>
      <c r="J10" s="599">
        <f ca="1">IF(K10=0, "", NISTmap!K17)</f>
        <v>0</v>
      </c>
      <c r="K10" s="600">
        <f>NISTmap!L17</f>
        <v>4</v>
      </c>
      <c r="L10" s="601">
        <f ca="1">IF(M10=0, "", NISTmap!N17)</f>
        <v>0</v>
      </c>
      <c r="M10" s="602">
        <f>NISTmap!O17</f>
        <v>1</v>
      </c>
      <c r="N10" s="601">
        <f ca="1">IF(O10=0, "", NISTmap!Q17)</f>
        <v>0</v>
      </c>
      <c r="O10" s="603">
        <f>NISTmap!R17</f>
        <v>1</v>
      </c>
      <c r="P10" s="601">
        <f ca="1">IF(Q10=0, "", NISTmap!T17)</f>
        <v>0</v>
      </c>
      <c r="Q10" s="604">
        <f>NISTmap!U17</f>
        <v>2</v>
      </c>
      <c r="R10" s="579"/>
      <c r="S10" s="26"/>
      <c r="T10" s="45"/>
      <c r="U10" s="3"/>
      <c r="V10" s="1144"/>
      <c r="W10" s="6"/>
    </row>
    <row r="11" spans="1:23" ht="30" customHeight="1" x14ac:dyDescent="0.25">
      <c r="A11" s="3"/>
      <c r="B11" s="574"/>
      <c r="C11" s="595"/>
      <c r="D11" s="1274"/>
      <c r="E11" s="596"/>
      <c r="F11" s="597" t="s">
        <v>1698</v>
      </c>
      <c r="G11" s="1269"/>
      <c r="H11" s="1097" t="s">
        <v>1554</v>
      </c>
      <c r="I11" s="598" t="s">
        <v>1700</v>
      </c>
      <c r="J11" s="599">
        <f ca="1">IF(K11=0, "", NISTmap!K18)</f>
        <v>0</v>
      </c>
      <c r="K11" s="600">
        <f>NISTmap!L18</f>
        <v>1</v>
      </c>
      <c r="L11" s="601" t="str">
        <f>IF(M11=0, "", NISTmap!N18)</f>
        <v/>
      </c>
      <c r="M11" s="602">
        <f>NISTmap!O18</f>
        <v>0</v>
      </c>
      <c r="N11" s="601">
        <f ca="1">IF(O11=0, "", NISTmap!Q18)</f>
        <v>0</v>
      </c>
      <c r="O11" s="603">
        <f>NISTmap!R18</f>
        <v>1</v>
      </c>
      <c r="P11" s="601" t="str">
        <f>IF(Q11=0, "", NISTmap!T18)</f>
        <v/>
      </c>
      <c r="Q11" s="604">
        <f>NISTmap!U18</f>
        <v>0</v>
      </c>
      <c r="R11" s="579"/>
      <c r="S11" s="26"/>
      <c r="T11" s="45"/>
      <c r="U11" s="3"/>
      <c r="V11" s="1144"/>
      <c r="W11" s="6"/>
    </row>
    <row r="12" spans="1:23" ht="30" customHeight="1" x14ac:dyDescent="0.25">
      <c r="A12" s="3"/>
      <c r="B12" s="574"/>
      <c r="C12" s="595"/>
      <c r="D12" s="1274"/>
      <c r="E12" s="596"/>
      <c r="F12" s="597" t="s">
        <v>1698</v>
      </c>
      <c r="G12" s="1269"/>
      <c r="H12" s="1097" t="s">
        <v>1560</v>
      </c>
      <c r="I12" s="598" t="s">
        <v>1701</v>
      </c>
      <c r="J12" s="599">
        <f ca="1">IF(K12=0, "", NISTmap!K19)</f>
        <v>0</v>
      </c>
      <c r="K12" s="600">
        <f>NISTmap!L19</f>
        <v>7</v>
      </c>
      <c r="L12" s="601">
        <f ca="1">IF(M12=0, "", NISTmap!N19)</f>
        <v>0</v>
      </c>
      <c r="M12" s="602">
        <f>NISTmap!O19</f>
        <v>2</v>
      </c>
      <c r="N12" s="601">
        <f ca="1">IF(O12=0, "", NISTmap!Q19)</f>
        <v>0</v>
      </c>
      <c r="O12" s="603">
        <f>NISTmap!R19</f>
        <v>2</v>
      </c>
      <c r="P12" s="601">
        <f ca="1">IF(Q12=0, "", NISTmap!T19)</f>
        <v>0</v>
      </c>
      <c r="Q12" s="604">
        <f>NISTmap!U19</f>
        <v>3</v>
      </c>
      <c r="R12" s="579"/>
      <c r="S12" s="26"/>
      <c r="T12" s="45"/>
      <c r="U12" s="3"/>
      <c r="V12" s="1144"/>
      <c r="W12" s="6"/>
    </row>
    <row r="13" spans="1:23" ht="45" customHeight="1" x14ac:dyDescent="0.25">
      <c r="A13" s="3"/>
      <c r="B13" s="574"/>
      <c r="C13" s="595"/>
      <c r="D13" s="1274"/>
      <c r="E13" s="596"/>
      <c r="F13" s="597" t="s">
        <v>1698</v>
      </c>
      <c r="G13" s="1269"/>
      <c r="H13" s="1097" t="s">
        <v>1550</v>
      </c>
      <c r="I13" s="598" t="s">
        <v>1702</v>
      </c>
      <c r="J13" s="599">
        <f ca="1">IF(K13=0, "", NISTmap!K20)</f>
        <v>0</v>
      </c>
      <c r="K13" s="600">
        <f>NISTmap!L20</f>
        <v>5</v>
      </c>
      <c r="L13" s="601" t="str">
        <f>IF(M13=0, "", NISTmap!N20)</f>
        <v/>
      </c>
      <c r="M13" s="602">
        <f>NISTmap!O20</f>
        <v>0</v>
      </c>
      <c r="N13" s="601">
        <f ca="1">IF(O13=0, "", NISTmap!Q20)</f>
        <v>0</v>
      </c>
      <c r="O13" s="603">
        <f>NISTmap!R20</f>
        <v>5</v>
      </c>
      <c r="P13" s="601" t="str">
        <f>IF(Q13=0, "", NISTmap!T20)</f>
        <v/>
      </c>
      <c r="Q13" s="604">
        <f>NISTmap!U20</f>
        <v>0</v>
      </c>
      <c r="R13" s="579"/>
      <c r="S13" s="26"/>
      <c r="T13" s="43"/>
      <c r="U13" s="3"/>
      <c r="V13" s="1144"/>
      <c r="W13" s="6"/>
    </row>
    <row r="14" spans="1:23" ht="45" customHeight="1" x14ac:dyDescent="0.25">
      <c r="A14" s="3"/>
      <c r="B14" s="574"/>
      <c r="C14" s="595"/>
      <c r="D14" s="1274"/>
      <c r="E14" s="596"/>
      <c r="F14" s="597" t="s">
        <v>1698</v>
      </c>
      <c r="G14" s="1269"/>
      <c r="H14" s="1097" t="s">
        <v>1529</v>
      </c>
      <c r="I14" s="598" t="s">
        <v>1703</v>
      </c>
      <c r="J14" s="599">
        <f ca="1">IF(K14=0, "", NISTmap!K21)</f>
        <v>0</v>
      </c>
      <c r="K14" s="600">
        <f>NISTmap!L21</f>
        <v>17</v>
      </c>
      <c r="L14" s="601">
        <f ca="1">IF(M14=0, "", NISTmap!N21)</f>
        <v>0</v>
      </c>
      <c r="M14" s="602">
        <f>NISTmap!O21</f>
        <v>2</v>
      </c>
      <c r="N14" s="601">
        <f ca="1">IF(O14=0, "", NISTmap!Q21)</f>
        <v>0</v>
      </c>
      <c r="O14" s="603">
        <f>NISTmap!R21</f>
        <v>5</v>
      </c>
      <c r="P14" s="601">
        <f ca="1">IF(Q14=0, "", NISTmap!T21)</f>
        <v>0</v>
      </c>
      <c r="Q14" s="604">
        <f>NISTmap!U21</f>
        <v>10</v>
      </c>
      <c r="R14" s="579"/>
      <c r="S14" s="26"/>
      <c r="T14" s="45"/>
      <c r="U14" s="3"/>
      <c r="V14" s="1144"/>
      <c r="W14" s="6"/>
    </row>
    <row r="15" spans="1:23" ht="30" customHeight="1" x14ac:dyDescent="0.25">
      <c r="A15" s="3"/>
      <c r="B15" s="574"/>
      <c r="C15" s="595"/>
      <c r="D15" s="1274"/>
      <c r="E15" s="605" t="s">
        <v>1704</v>
      </c>
      <c r="F15" s="606" t="s">
        <v>1705</v>
      </c>
      <c r="G15" s="1270" t="s">
        <v>1706</v>
      </c>
      <c r="H15" s="1096" t="s">
        <v>1561</v>
      </c>
      <c r="I15" s="607" t="s">
        <v>1707</v>
      </c>
      <c r="J15" s="1087">
        <f ca="1">IF(K15=0, "", NISTmap!K22)</f>
        <v>0</v>
      </c>
      <c r="K15" s="608">
        <f>NISTmap!L22</f>
        <v>3</v>
      </c>
      <c r="L15" s="601">
        <f ca="1">IF(M15=0, "", NISTmap!N22)</f>
        <v>0</v>
      </c>
      <c r="M15" s="610">
        <f>NISTmap!O22</f>
        <v>1</v>
      </c>
      <c r="N15" s="609">
        <f ca="1">IF(O15=0, "", NISTmap!Q22)</f>
        <v>0</v>
      </c>
      <c r="O15" s="611">
        <f>NISTmap!R22</f>
        <v>1</v>
      </c>
      <c r="P15" s="609">
        <f ca="1">IF(Q15=0, "", NISTmap!T22)</f>
        <v>0</v>
      </c>
      <c r="Q15" s="611">
        <f>NISTmap!U22</f>
        <v>1</v>
      </c>
      <c r="R15" s="579"/>
      <c r="S15" s="26"/>
      <c r="T15" s="45"/>
      <c r="U15" s="12"/>
      <c r="V15" s="1145"/>
      <c r="W15" s="12"/>
    </row>
    <row r="16" spans="1:23" ht="30" customHeight="1" x14ac:dyDescent="0.25">
      <c r="A16" s="3"/>
      <c r="B16" s="574"/>
      <c r="C16" s="595"/>
      <c r="D16" s="1274"/>
      <c r="E16" s="612"/>
      <c r="F16" s="613" t="s">
        <v>1698</v>
      </c>
      <c r="G16" s="1271"/>
      <c r="H16" s="1097" t="s">
        <v>1559</v>
      </c>
      <c r="I16" s="614" t="s">
        <v>1708</v>
      </c>
      <c r="J16" s="1088">
        <f ca="1">IF(K16=0, "", NISTmap!K23)</f>
        <v>0</v>
      </c>
      <c r="K16" s="600">
        <f>NISTmap!L23</f>
        <v>3</v>
      </c>
      <c r="L16" s="601">
        <f ca="1">IF(M16=0, "", NISTmap!N23)</f>
        <v>0</v>
      </c>
      <c r="M16" s="602">
        <f>NISTmap!O23</f>
        <v>1</v>
      </c>
      <c r="N16" s="601">
        <f ca="1">IF(O16=0, "", NISTmap!Q23)</f>
        <v>0</v>
      </c>
      <c r="O16" s="603">
        <f>NISTmap!R23</f>
        <v>1</v>
      </c>
      <c r="P16" s="601">
        <f ca="1">IF(Q16=0, "", NISTmap!T23)</f>
        <v>0</v>
      </c>
      <c r="Q16" s="603">
        <f>NISTmap!U23</f>
        <v>1</v>
      </c>
      <c r="R16" s="579"/>
      <c r="S16" s="26"/>
      <c r="T16" s="45"/>
      <c r="U16" s="12"/>
      <c r="V16" s="12"/>
      <c r="W16" s="12"/>
    </row>
    <row r="17" spans="1:23" ht="30" customHeight="1" x14ac:dyDescent="0.25">
      <c r="A17" s="3"/>
      <c r="B17" s="574"/>
      <c r="C17" s="595"/>
      <c r="D17" s="1274"/>
      <c r="E17" s="612"/>
      <c r="F17" s="613" t="s">
        <v>1698</v>
      </c>
      <c r="G17" s="1271"/>
      <c r="H17" s="1097" t="s">
        <v>1564</v>
      </c>
      <c r="I17" s="614" t="s">
        <v>1709</v>
      </c>
      <c r="J17" s="1088">
        <f ca="1">IF(K17=0, "", NISTmap!K24)</f>
        <v>0</v>
      </c>
      <c r="K17" s="600">
        <f>NISTmap!L24</f>
        <v>3</v>
      </c>
      <c r="L17" s="601">
        <f ca="1">IF(M17=0, "", NISTmap!N24)</f>
        <v>0</v>
      </c>
      <c r="M17" s="602">
        <f>NISTmap!O24</f>
        <v>1</v>
      </c>
      <c r="N17" s="601">
        <f ca="1">IF(O17=0, "", NISTmap!Q24)</f>
        <v>0</v>
      </c>
      <c r="O17" s="603">
        <f>NISTmap!R24</f>
        <v>2</v>
      </c>
      <c r="P17" s="601" t="str">
        <f>IF(Q17=0, "", NISTmap!T24)</f>
        <v/>
      </c>
      <c r="Q17" s="603">
        <f>NISTmap!U24</f>
        <v>0</v>
      </c>
      <c r="R17" s="579"/>
      <c r="S17" s="26"/>
      <c r="T17" s="45"/>
    </row>
    <row r="18" spans="1:23" ht="30" customHeight="1" x14ac:dyDescent="0.25">
      <c r="A18" s="3"/>
      <c r="B18" s="574"/>
      <c r="C18" s="595"/>
      <c r="D18" s="1274"/>
      <c r="E18" s="612"/>
      <c r="F18" s="613" t="s">
        <v>1698</v>
      </c>
      <c r="G18" s="1271"/>
      <c r="H18" s="1097" t="s">
        <v>1551</v>
      </c>
      <c r="I18" s="614" t="s">
        <v>1710</v>
      </c>
      <c r="J18" s="1088">
        <f ca="1">IF(K18=0, "", NISTmap!K25)</f>
        <v>0</v>
      </c>
      <c r="K18" s="600">
        <f>NISTmap!L25</f>
        <v>4</v>
      </c>
      <c r="L18" s="601">
        <f ca="1">IF(M18=0, "", NISTmap!N25)</f>
        <v>0</v>
      </c>
      <c r="M18" s="602">
        <f>NISTmap!O25</f>
        <v>1</v>
      </c>
      <c r="N18" s="601">
        <f ca="1">IF(O18=0, "", NISTmap!Q25)</f>
        <v>0</v>
      </c>
      <c r="O18" s="603">
        <f>NISTmap!R25</f>
        <v>2</v>
      </c>
      <c r="P18" s="601">
        <f ca="1">IF(Q18=0, "", NISTmap!T25)</f>
        <v>0</v>
      </c>
      <c r="Q18" s="603">
        <f>NISTmap!U25</f>
        <v>1</v>
      </c>
      <c r="R18" s="579"/>
      <c r="S18" s="26"/>
      <c r="T18" s="45"/>
    </row>
    <row r="19" spans="1:23" ht="45" customHeight="1" x14ac:dyDescent="0.25">
      <c r="A19" s="3"/>
      <c r="B19" s="574"/>
      <c r="C19" s="595"/>
      <c r="D19" s="1274"/>
      <c r="E19" s="615"/>
      <c r="F19" s="616" t="s">
        <v>1698</v>
      </c>
      <c r="G19" s="1272"/>
      <c r="H19" s="1098" t="s">
        <v>1568</v>
      </c>
      <c r="I19" s="617" t="s">
        <v>1711</v>
      </c>
      <c r="J19" s="1089">
        <f ca="1">IF(K19=0, "", NISTmap!K26)</f>
        <v>0</v>
      </c>
      <c r="K19" s="618">
        <f>NISTmap!L26</f>
        <v>7</v>
      </c>
      <c r="L19" s="601">
        <f ca="1">IF(M19=0, "", NISTmap!N26)</f>
        <v>0</v>
      </c>
      <c r="M19" s="620">
        <f>NISTmap!O26</f>
        <v>1</v>
      </c>
      <c r="N19" s="619">
        <f ca="1">IF(O19=0, "", NISTmap!Q26)</f>
        <v>0</v>
      </c>
      <c r="O19" s="621">
        <f>NISTmap!R26</f>
        <v>4</v>
      </c>
      <c r="P19" s="619">
        <f ca="1">IF(Q19=0, "", NISTmap!T26)</f>
        <v>0</v>
      </c>
      <c r="Q19" s="621">
        <f>NISTmap!U26</f>
        <v>2</v>
      </c>
      <c r="R19" s="579"/>
      <c r="S19" s="26"/>
      <c r="T19" s="45"/>
    </row>
    <row r="20" spans="1:23" ht="30" customHeight="1" x14ac:dyDescent="0.25">
      <c r="A20" s="3"/>
      <c r="B20" s="574"/>
      <c r="C20" s="595"/>
      <c r="D20" s="1274"/>
      <c r="E20" s="596" t="s">
        <v>1712</v>
      </c>
      <c r="F20" s="597" t="s">
        <v>1713</v>
      </c>
      <c r="G20" s="1269" t="s">
        <v>1714</v>
      </c>
      <c r="H20" s="1097" t="s">
        <v>1562</v>
      </c>
      <c r="I20" s="598" t="s">
        <v>1715</v>
      </c>
      <c r="J20" s="599">
        <f ca="1">IF(K20=0, "", NISTmap!K27)</f>
        <v>0</v>
      </c>
      <c r="K20" s="600">
        <f>NISTmap!L27</f>
        <v>28</v>
      </c>
      <c r="L20" s="601" t="str">
        <f>IF(M20=0, "", NISTmap!N27)</f>
        <v/>
      </c>
      <c r="M20" s="602">
        <f>NISTmap!O27</f>
        <v>0</v>
      </c>
      <c r="N20" s="601">
        <f ca="1">IF(O20=0, "", NISTmap!Q27)</f>
        <v>0</v>
      </c>
      <c r="O20" s="603">
        <f>NISTmap!R27</f>
        <v>7</v>
      </c>
      <c r="P20" s="601">
        <f ca="1">IF(Q20=0, "", NISTmap!T27)</f>
        <v>0</v>
      </c>
      <c r="Q20" s="604">
        <f>NISTmap!U27</f>
        <v>21</v>
      </c>
      <c r="R20" s="579"/>
      <c r="S20" s="26"/>
      <c r="T20" s="42"/>
      <c r="U20" s="80"/>
      <c r="V20" s="80"/>
      <c r="W20" s="80"/>
    </row>
    <row r="21" spans="1:23" ht="30" customHeight="1" x14ac:dyDescent="0.25">
      <c r="A21" s="3"/>
      <c r="B21" s="574"/>
      <c r="C21" s="595"/>
      <c r="D21" s="1274"/>
      <c r="E21" s="596"/>
      <c r="F21" s="597" t="s">
        <v>1698</v>
      </c>
      <c r="G21" s="1269"/>
      <c r="H21" s="1097" t="s">
        <v>1530</v>
      </c>
      <c r="I21" s="598" t="s">
        <v>1716</v>
      </c>
      <c r="J21" s="599">
        <f ca="1">IF(K21=0, "", NISTmap!K28)</f>
        <v>0</v>
      </c>
      <c r="K21" s="600">
        <f>NISTmap!L28</f>
        <v>16</v>
      </c>
      <c r="L21" s="601">
        <f ca="1">IF(M21=0, "", NISTmap!N28)</f>
        <v>0</v>
      </c>
      <c r="M21" s="602">
        <f>NISTmap!O28</f>
        <v>1</v>
      </c>
      <c r="N21" s="601">
        <f ca="1">IF(O21=0, "", NISTmap!Q28)</f>
        <v>0</v>
      </c>
      <c r="O21" s="603">
        <f>NISTmap!R28</f>
        <v>4</v>
      </c>
      <c r="P21" s="601">
        <f ca="1">IF(Q21=0, "", NISTmap!T28)</f>
        <v>0</v>
      </c>
      <c r="Q21" s="604">
        <f>NISTmap!U28</f>
        <v>11</v>
      </c>
      <c r="R21" s="579"/>
      <c r="S21" s="26"/>
      <c r="T21" s="42"/>
      <c r="U21" s="80"/>
      <c r="V21" s="80"/>
      <c r="W21" s="80"/>
    </row>
    <row r="22" spans="1:23" ht="45" customHeight="1" x14ac:dyDescent="0.25">
      <c r="A22" s="3"/>
      <c r="B22" s="574"/>
      <c r="C22" s="595"/>
      <c r="D22" s="1274"/>
      <c r="E22" s="596"/>
      <c r="F22" s="597" t="s">
        <v>1698</v>
      </c>
      <c r="G22" s="1269"/>
      <c r="H22" s="1097" t="s">
        <v>1576</v>
      </c>
      <c r="I22" s="598" t="s">
        <v>1717</v>
      </c>
      <c r="J22" s="599">
        <f ca="1">IF(K22=0, "", NISTmap!K29)</f>
        <v>0</v>
      </c>
      <c r="K22" s="600">
        <f>NISTmap!L29</f>
        <v>27</v>
      </c>
      <c r="L22" s="601">
        <f ca="1">IF(M22=0, "", NISTmap!N29)</f>
        <v>0</v>
      </c>
      <c r="M22" s="602">
        <f>NISTmap!O29</f>
        <v>2</v>
      </c>
      <c r="N22" s="601">
        <f ca="1">IF(O22=0, "", NISTmap!Q29)</f>
        <v>0</v>
      </c>
      <c r="O22" s="603">
        <f>NISTmap!R29</f>
        <v>4</v>
      </c>
      <c r="P22" s="601">
        <f ca="1">IF(Q22=0, "", NISTmap!T29)</f>
        <v>0</v>
      </c>
      <c r="Q22" s="604">
        <f>NISTmap!U29</f>
        <v>21</v>
      </c>
      <c r="R22" s="579"/>
      <c r="S22" s="26"/>
    </row>
    <row r="23" spans="1:23" ht="30" customHeight="1" x14ac:dyDescent="0.25">
      <c r="A23" s="3"/>
      <c r="B23" s="574"/>
      <c r="C23" s="595"/>
      <c r="D23" s="1274"/>
      <c r="E23" s="596"/>
      <c r="F23" s="597" t="s">
        <v>1698</v>
      </c>
      <c r="G23" s="1269"/>
      <c r="H23" s="1097" t="s">
        <v>1566</v>
      </c>
      <c r="I23" s="598" t="s">
        <v>1718</v>
      </c>
      <c r="J23" s="599">
        <f ca="1">IF(K23=0, "", NISTmap!K30)</f>
        <v>0</v>
      </c>
      <c r="K23" s="600">
        <f>NISTmap!L30</f>
        <v>11</v>
      </c>
      <c r="L23" s="601">
        <f ca="1">IF(M23=0, "", NISTmap!N30)</f>
        <v>0</v>
      </c>
      <c r="M23" s="602">
        <f>NISTmap!O30</f>
        <v>3</v>
      </c>
      <c r="N23" s="601">
        <f ca="1">IF(O23=0, "", NISTmap!Q30)</f>
        <v>0</v>
      </c>
      <c r="O23" s="603">
        <f>NISTmap!R30</f>
        <v>5</v>
      </c>
      <c r="P23" s="601">
        <f ca="1">IF(Q23=0, "", NISTmap!T30)</f>
        <v>0</v>
      </c>
      <c r="Q23" s="604">
        <f>NISTmap!U30</f>
        <v>3</v>
      </c>
      <c r="R23" s="579"/>
      <c r="S23" s="26"/>
    </row>
    <row r="24" spans="1:23" ht="30" customHeight="1" x14ac:dyDescent="0.25">
      <c r="A24" s="3"/>
      <c r="B24" s="574"/>
      <c r="C24" s="595"/>
      <c r="D24" s="1274"/>
      <c r="E24" s="605" t="s">
        <v>1719</v>
      </c>
      <c r="F24" s="606" t="s">
        <v>1720</v>
      </c>
      <c r="G24" s="1270" t="s">
        <v>1721</v>
      </c>
      <c r="H24" s="1096" t="s">
        <v>1609</v>
      </c>
      <c r="I24" s="607" t="s">
        <v>1722</v>
      </c>
      <c r="J24" s="1087">
        <f ca="1">IF(K24=0, "", NISTmap!K31)</f>
        <v>0</v>
      </c>
      <c r="K24" s="608">
        <f>NISTmap!L31</f>
        <v>6</v>
      </c>
      <c r="L24" s="601">
        <f ca="1">IF(M24=0, "", NISTmap!N31)</f>
        <v>0</v>
      </c>
      <c r="M24" s="610">
        <f>NISTmap!O31</f>
        <v>3</v>
      </c>
      <c r="N24" s="609">
        <f ca="1">IF(O24=0, "", NISTmap!Q31)</f>
        <v>0</v>
      </c>
      <c r="O24" s="611">
        <f>NISTmap!R31</f>
        <v>2</v>
      </c>
      <c r="P24" s="609">
        <f ca="1">IF(Q24=0, "", NISTmap!T31)</f>
        <v>0</v>
      </c>
      <c r="Q24" s="611">
        <f>NISTmap!U31</f>
        <v>1</v>
      </c>
      <c r="R24" s="579"/>
      <c r="S24" s="26"/>
    </row>
    <row r="25" spans="1:23" ht="30" customHeight="1" x14ac:dyDescent="0.25">
      <c r="A25" s="3"/>
      <c r="B25" s="574"/>
      <c r="C25" s="595"/>
      <c r="D25" s="1274"/>
      <c r="E25" s="612"/>
      <c r="F25" s="613" t="s">
        <v>1698</v>
      </c>
      <c r="G25" s="1271"/>
      <c r="H25" s="1097" t="s">
        <v>1610</v>
      </c>
      <c r="I25" s="614" t="s">
        <v>1723</v>
      </c>
      <c r="J25" s="1088">
        <f ca="1">IF(K25=0, "", NISTmap!K32)</f>
        <v>0</v>
      </c>
      <c r="K25" s="600">
        <f>NISTmap!L32</f>
        <v>9</v>
      </c>
      <c r="L25" s="601">
        <f ca="1">IF(M25=0, "", NISTmap!N32)</f>
        <v>0</v>
      </c>
      <c r="M25" s="602">
        <f>NISTmap!O32</f>
        <v>3</v>
      </c>
      <c r="N25" s="601">
        <f ca="1">IF(O25=0, "", NISTmap!Q32)</f>
        <v>0</v>
      </c>
      <c r="O25" s="603">
        <f>NISTmap!R32</f>
        <v>1</v>
      </c>
      <c r="P25" s="601">
        <f ca="1">IF(Q25=0, "", NISTmap!T32)</f>
        <v>0</v>
      </c>
      <c r="Q25" s="603">
        <f>NISTmap!U32</f>
        <v>5</v>
      </c>
      <c r="R25" s="579"/>
      <c r="S25" s="26"/>
    </row>
    <row r="26" spans="1:23" ht="30" customHeight="1" x14ac:dyDescent="0.25">
      <c r="A26" s="3"/>
      <c r="B26" s="574"/>
      <c r="C26" s="595"/>
      <c r="D26" s="1274"/>
      <c r="E26" s="612"/>
      <c r="F26" s="613" t="s">
        <v>1698</v>
      </c>
      <c r="G26" s="1271"/>
      <c r="H26" s="1097" t="s">
        <v>1612</v>
      </c>
      <c r="I26" s="614" t="s">
        <v>1724</v>
      </c>
      <c r="J26" s="1088">
        <f ca="1">IF(K26=0, "", NISTmap!K33)</f>
        <v>0</v>
      </c>
      <c r="K26" s="600">
        <f>NISTmap!L33</f>
        <v>6</v>
      </c>
      <c r="L26" s="601">
        <f ca="1">IF(M26=0, "", NISTmap!N33)</f>
        <v>0</v>
      </c>
      <c r="M26" s="602">
        <f>NISTmap!O33</f>
        <v>3</v>
      </c>
      <c r="N26" s="601">
        <f ca="1">IF(O26=0, "", NISTmap!Q33)</f>
        <v>0</v>
      </c>
      <c r="O26" s="603">
        <f>NISTmap!R33</f>
        <v>1</v>
      </c>
      <c r="P26" s="601">
        <f ca="1">IF(Q26=0, "", NISTmap!T33)</f>
        <v>0</v>
      </c>
      <c r="Q26" s="603">
        <f>NISTmap!U33</f>
        <v>2</v>
      </c>
      <c r="R26" s="579"/>
      <c r="S26" s="26"/>
    </row>
    <row r="27" spans="1:23" ht="30" customHeight="1" x14ac:dyDescent="0.25">
      <c r="A27" s="3"/>
      <c r="B27" s="574"/>
      <c r="C27" s="595"/>
      <c r="D27" s="1274"/>
      <c r="E27" s="612"/>
      <c r="F27" s="613" t="s">
        <v>1698</v>
      </c>
      <c r="G27" s="1271"/>
      <c r="H27" s="1097" t="s">
        <v>1613</v>
      </c>
      <c r="I27" s="614" t="s">
        <v>1725</v>
      </c>
      <c r="J27" s="1088">
        <f ca="1">IF(K27=0, "", NISTmap!K34)</f>
        <v>0</v>
      </c>
      <c r="K27" s="600">
        <f>NISTmap!L34</f>
        <v>6</v>
      </c>
      <c r="L27" s="601">
        <f ca="1">IF(M27=0, "", NISTmap!N34)</f>
        <v>0</v>
      </c>
      <c r="M27" s="602">
        <f>NISTmap!O34</f>
        <v>1</v>
      </c>
      <c r="N27" s="601">
        <f ca="1">IF(O27=0, "", NISTmap!Q34)</f>
        <v>0</v>
      </c>
      <c r="O27" s="603">
        <f>NISTmap!R34</f>
        <v>5</v>
      </c>
      <c r="P27" s="601" t="str">
        <f>IF(Q27=0, "", NISTmap!T34)</f>
        <v/>
      </c>
      <c r="Q27" s="603">
        <f>NISTmap!U34</f>
        <v>0</v>
      </c>
      <c r="R27" s="579"/>
      <c r="S27" s="26"/>
    </row>
    <row r="28" spans="1:23" ht="30" customHeight="1" x14ac:dyDescent="0.25">
      <c r="A28" s="3"/>
      <c r="B28" s="574"/>
      <c r="C28" s="595"/>
      <c r="D28" s="1274"/>
      <c r="E28" s="612"/>
      <c r="F28" s="613" t="s">
        <v>1698</v>
      </c>
      <c r="G28" s="1271"/>
      <c r="H28" s="1097" t="s">
        <v>1552</v>
      </c>
      <c r="I28" s="614" t="s">
        <v>1726</v>
      </c>
      <c r="J28" s="1088">
        <f ca="1">IF(K28=0, "", NISTmap!K35)</f>
        <v>0</v>
      </c>
      <c r="K28" s="600">
        <f>NISTmap!L35</f>
        <v>10</v>
      </c>
      <c r="L28" s="601">
        <f ca="1">IF(M28=0, "", NISTmap!N35)</f>
        <v>0</v>
      </c>
      <c r="M28" s="602">
        <f>NISTmap!O35</f>
        <v>2</v>
      </c>
      <c r="N28" s="601">
        <f ca="1">IF(O28=0, "", NISTmap!Q35)</f>
        <v>0</v>
      </c>
      <c r="O28" s="603">
        <f>NISTmap!R35</f>
        <v>5</v>
      </c>
      <c r="P28" s="601">
        <f ca="1">IF(Q28=0, "", NISTmap!T35)</f>
        <v>0</v>
      </c>
      <c r="Q28" s="603">
        <f>NISTmap!U35</f>
        <v>3</v>
      </c>
      <c r="R28" s="579"/>
      <c r="S28" s="26"/>
    </row>
    <row r="29" spans="1:23" ht="30" customHeight="1" x14ac:dyDescent="0.25">
      <c r="A29" s="3"/>
      <c r="B29" s="574"/>
      <c r="C29" s="595"/>
      <c r="D29" s="1274"/>
      <c r="E29" s="615"/>
      <c r="F29" s="616" t="s">
        <v>1698</v>
      </c>
      <c r="G29" s="1272"/>
      <c r="H29" s="1098" t="s">
        <v>1602</v>
      </c>
      <c r="I29" s="617" t="s">
        <v>1727</v>
      </c>
      <c r="J29" s="1089">
        <f ca="1">IF(K29=0, "", NISTmap!K36)</f>
        <v>0</v>
      </c>
      <c r="K29" s="618">
        <f>NISTmap!L36</f>
        <v>2</v>
      </c>
      <c r="L29" s="601">
        <f ca="1">IF(M29=0, "", NISTmap!N36)</f>
        <v>0</v>
      </c>
      <c r="M29" s="620">
        <f>NISTmap!O36</f>
        <v>1</v>
      </c>
      <c r="N29" s="619">
        <f ca="1">IF(O29=0, "", NISTmap!Q36)</f>
        <v>0</v>
      </c>
      <c r="O29" s="621">
        <f>NISTmap!R36</f>
        <v>1</v>
      </c>
      <c r="P29" s="619" t="str">
        <f>IF(Q29=0, "", NISTmap!T36)</f>
        <v/>
      </c>
      <c r="Q29" s="621">
        <f>NISTmap!U36</f>
        <v>0</v>
      </c>
      <c r="R29" s="579"/>
      <c r="S29" s="26"/>
    </row>
    <row r="30" spans="1:23" ht="30" customHeight="1" x14ac:dyDescent="0.25">
      <c r="A30" s="3"/>
      <c r="B30" s="574"/>
      <c r="C30" s="595"/>
      <c r="D30" s="1274"/>
      <c r="E30" s="596" t="s">
        <v>1728</v>
      </c>
      <c r="F30" s="597" t="s">
        <v>1729</v>
      </c>
      <c r="G30" s="1269" t="s">
        <v>1730</v>
      </c>
      <c r="H30" s="1097" t="s">
        <v>1567</v>
      </c>
      <c r="I30" s="598" t="s">
        <v>1731</v>
      </c>
      <c r="J30" s="599">
        <f ca="1">IF(K30=0, "", NISTmap!K37)</f>
        <v>0</v>
      </c>
      <c r="K30" s="600">
        <f>NISTmap!L37</f>
        <v>13</v>
      </c>
      <c r="L30" s="601">
        <f ca="1">IF(M30=0, "", NISTmap!N37)</f>
        <v>0</v>
      </c>
      <c r="M30" s="602">
        <f>NISTmap!O37</f>
        <v>1</v>
      </c>
      <c r="N30" s="601">
        <f ca="1">IF(O30=0, "", NISTmap!Q37)</f>
        <v>0</v>
      </c>
      <c r="O30" s="603">
        <f>NISTmap!R37</f>
        <v>10</v>
      </c>
      <c r="P30" s="601">
        <f ca="1">IF(Q30=0, "", NISTmap!T37)</f>
        <v>0</v>
      </c>
      <c r="Q30" s="604">
        <f>NISTmap!U37</f>
        <v>2</v>
      </c>
      <c r="R30" s="579"/>
      <c r="S30" s="26"/>
    </row>
    <row r="31" spans="1:23" ht="30" customHeight="1" x14ac:dyDescent="0.25">
      <c r="A31" s="3"/>
      <c r="B31" s="574"/>
      <c r="C31" s="595"/>
      <c r="D31" s="1274"/>
      <c r="E31" s="596"/>
      <c r="F31" s="597" t="s">
        <v>1698</v>
      </c>
      <c r="G31" s="1269"/>
      <c r="H31" s="1097" t="s">
        <v>1604</v>
      </c>
      <c r="I31" s="598" t="s">
        <v>1732</v>
      </c>
      <c r="J31" s="599">
        <f ca="1">IF(K31=0, "", NISTmap!K38)</f>
        <v>0</v>
      </c>
      <c r="K31" s="600">
        <f>NISTmap!L38</f>
        <v>4</v>
      </c>
      <c r="L31" s="601">
        <f ca="1">IF(M31=0, "", NISTmap!N38)</f>
        <v>0</v>
      </c>
      <c r="M31" s="602">
        <f>NISTmap!O38</f>
        <v>1</v>
      </c>
      <c r="N31" s="601">
        <f ca="1">IF(O31=0, "", NISTmap!Q38)</f>
        <v>0</v>
      </c>
      <c r="O31" s="603">
        <f>NISTmap!R38</f>
        <v>3</v>
      </c>
      <c r="P31" s="601" t="str">
        <f>IF(Q31=0, "", NISTmap!T38)</f>
        <v/>
      </c>
      <c r="Q31" s="604">
        <f>NISTmap!U38</f>
        <v>0</v>
      </c>
      <c r="R31" s="579"/>
      <c r="S31" s="26"/>
    </row>
    <row r="32" spans="1:23" ht="30" customHeight="1" x14ac:dyDescent="0.25">
      <c r="A32" s="3"/>
      <c r="B32" s="574"/>
      <c r="C32" s="595"/>
      <c r="D32" s="1274"/>
      <c r="E32" s="596"/>
      <c r="F32" s="597" t="s">
        <v>1698</v>
      </c>
      <c r="G32" s="1269"/>
      <c r="H32" s="1097" t="s">
        <v>1733</v>
      </c>
      <c r="I32" s="598" t="s">
        <v>1734</v>
      </c>
      <c r="J32" s="599">
        <f ca="1">IF(K32=0, "", NISTmap!K39)</f>
        <v>0</v>
      </c>
      <c r="K32" s="600">
        <f>NISTmap!L39</f>
        <v>5</v>
      </c>
      <c r="L32" s="601">
        <f ca="1">IF(M32=0, "", NISTmap!N39)</f>
        <v>0</v>
      </c>
      <c r="M32" s="602">
        <f>NISTmap!O39</f>
        <v>1</v>
      </c>
      <c r="N32" s="601">
        <f ca="1">IF(O32=0, "", NISTmap!Q39)</f>
        <v>0</v>
      </c>
      <c r="O32" s="603">
        <f>NISTmap!R39</f>
        <v>3</v>
      </c>
      <c r="P32" s="601">
        <f ca="1">IF(Q32=0, "", NISTmap!T39)</f>
        <v>0</v>
      </c>
      <c r="Q32" s="604">
        <f>NISTmap!U39</f>
        <v>1</v>
      </c>
      <c r="R32" s="579"/>
      <c r="S32" s="26"/>
    </row>
    <row r="33" spans="1:19" ht="45" customHeight="1" x14ac:dyDescent="0.25">
      <c r="A33" s="3"/>
      <c r="B33" s="574"/>
      <c r="C33" s="595"/>
      <c r="D33" s="1274"/>
      <c r="E33" s="605" t="s">
        <v>1735</v>
      </c>
      <c r="F33" s="606" t="s">
        <v>1736</v>
      </c>
      <c r="G33" s="1270" t="s">
        <v>1737</v>
      </c>
      <c r="H33" s="1096" t="s">
        <v>1563</v>
      </c>
      <c r="I33" s="607" t="s">
        <v>1738</v>
      </c>
      <c r="J33" s="1087">
        <f ca="1">IF(K33=0, "", NISTmap!K40)</f>
        <v>0</v>
      </c>
      <c r="K33" s="608">
        <f>NISTmap!L40</f>
        <v>6</v>
      </c>
      <c r="L33" s="601" t="str">
        <f>IF(M33=0, "", NISTmap!N40)</f>
        <v/>
      </c>
      <c r="M33" s="610">
        <f>NISTmap!O40</f>
        <v>0</v>
      </c>
      <c r="N33" s="609">
        <f ca="1">IF(O33=0, "", NISTmap!Q40)</f>
        <v>0</v>
      </c>
      <c r="O33" s="611">
        <f>NISTmap!R40</f>
        <v>3</v>
      </c>
      <c r="P33" s="609">
        <f ca="1">IF(Q33=0, "", NISTmap!T40)</f>
        <v>0</v>
      </c>
      <c r="Q33" s="611">
        <f>NISTmap!U40</f>
        <v>3</v>
      </c>
      <c r="R33" s="579"/>
      <c r="S33" s="26"/>
    </row>
    <row r="34" spans="1:19" ht="45" customHeight="1" x14ac:dyDescent="0.25">
      <c r="A34" s="3"/>
      <c r="B34" s="574"/>
      <c r="C34" s="595"/>
      <c r="D34" s="1274"/>
      <c r="E34" s="612"/>
      <c r="F34" s="613" t="s">
        <v>1698</v>
      </c>
      <c r="G34" s="1271"/>
      <c r="H34" s="1097" t="s">
        <v>1543</v>
      </c>
      <c r="I34" s="614" t="s">
        <v>1739</v>
      </c>
      <c r="J34" s="1088">
        <f ca="1">IF(K34=0, "", NISTmap!K41)</f>
        <v>0</v>
      </c>
      <c r="K34" s="600">
        <f>NISTmap!L41</f>
        <v>6</v>
      </c>
      <c r="L34" s="601">
        <f ca="1">IF(M34=0, "", NISTmap!N41)</f>
        <v>0</v>
      </c>
      <c r="M34" s="602">
        <f>NISTmap!O41</f>
        <v>2</v>
      </c>
      <c r="N34" s="601">
        <f ca="1">IF(O34=0, "", NISTmap!Q41)</f>
        <v>0</v>
      </c>
      <c r="O34" s="603">
        <f>NISTmap!R41</f>
        <v>3</v>
      </c>
      <c r="P34" s="601">
        <f ca="1">IF(Q34=0, "", NISTmap!T41)</f>
        <v>0</v>
      </c>
      <c r="Q34" s="603">
        <f>NISTmap!U41</f>
        <v>1</v>
      </c>
      <c r="R34" s="579"/>
      <c r="S34" s="26"/>
    </row>
    <row r="35" spans="1:19" ht="60" customHeight="1" x14ac:dyDescent="0.25">
      <c r="A35" s="3"/>
      <c r="B35" s="574"/>
      <c r="C35" s="595"/>
      <c r="D35" s="1274"/>
      <c r="E35" s="612"/>
      <c r="F35" s="613" t="s">
        <v>1698</v>
      </c>
      <c r="G35" s="1271"/>
      <c r="H35" s="1097" t="s">
        <v>1607</v>
      </c>
      <c r="I35" s="614" t="s">
        <v>1740</v>
      </c>
      <c r="J35" s="1088">
        <f ca="1">IF(K35=0, "", NISTmap!K42)</f>
        <v>0</v>
      </c>
      <c r="K35" s="600">
        <f>NISTmap!L42</f>
        <v>2</v>
      </c>
      <c r="L35" s="601" t="str">
        <f>IF(M35=0, "", NISTmap!N42)</f>
        <v/>
      </c>
      <c r="M35" s="602">
        <f>NISTmap!O42</f>
        <v>0</v>
      </c>
      <c r="N35" s="601">
        <f ca="1">IF(O35=0, "", NISTmap!Q42)</f>
        <v>0</v>
      </c>
      <c r="O35" s="603">
        <f>NISTmap!R42</f>
        <v>1</v>
      </c>
      <c r="P35" s="601">
        <f ca="1">IF(Q35=0, "", NISTmap!T42)</f>
        <v>0</v>
      </c>
      <c r="Q35" s="603">
        <f>NISTmap!U42</f>
        <v>1</v>
      </c>
      <c r="R35" s="579"/>
      <c r="S35" s="26"/>
    </row>
    <row r="36" spans="1:19" ht="45" customHeight="1" x14ac:dyDescent="0.25">
      <c r="A36" s="3"/>
      <c r="B36" s="574"/>
      <c r="C36" s="595"/>
      <c r="D36" s="1274"/>
      <c r="E36" s="612"/>
      <c r="F36" s="613" t="s">
        <v>1698</v>
      </c>
      <c r="G36" s="1271"/>
      <c r="H36" s="1097" t="s">
        <v>1608</v>
      </c>
      <c r="I36" s="614" t="s">
        <v>1741</v>
      </c>
      <c r="J36" s="1088">
        <f ca="1">IF(K36=0, "", NISTmap!K43)</f>
        <v>0</v>
      </c>
      <c r="K36" s="600">
        <f>NISTmap!L43</f>
        <v>2</v>
      </c>
      <c r="L36" s="601" t="str">
        <f>IF(M36=0, "", NISTmap!N43)</f>
        <v/>
      </c>
      <c r="M36" s="602">
        <f>NISTmap!O43</f>
        <v>0</v>
      </c>
      <c r="N36" s="601">
        <f ca="1">IF(O36=0, "", NISTmap!Q43)</f>
        <v>0</v>
      </c>
      <c r="O36" s="603">
        <f>NISTmap!R43</f>
        <v>1</v>
      </c>
      <c r="P36" s="601">
        <f ca="1">IF(Q36=0, "", NISTmap!T43)</f>
        <v>0</v>
      </c>
      <c r="Q36" s="603">
        <f>NISTmap!U43</f>
        <v>1</v>
      </c>
      <c r="R36" s="579"/>
      <c r="S36" s="26"/>
    </row>
    <row r="37" spans="1:19" ht="30" customHeight="1" x14ac:dyDescent="0.25">
      <c r="A37" s="3"/>
      <c r="B37" s="574"/>
      <c r="C37" s="595"/>
      <c r="D37" s="1275"/>
      <c r="E37" s="615"/>
      <c r="F37" s="616" t="s">
        <v>1698</v>
      </c>
      <c r="G37" s="1272"/>
      <c r="H37" s="1098" t="s">
        <v>1572</v>
      </c>
      <c r="I37" s="617" t="s">
        <v>1742</v>
      </c>
      <c r="J37" s="1088">
        <f ca="1">IF(K37=0, "", NISTmap!K44)</f>
        <v>0</v>
      </c>
      <c r="K37" s="600">
        <f>NISTmap!L44</f>
        <v>5</v>
      </c>
      <c r="L37" s="601" t="str">
        <f>IF(M37=0, "", NISTmap!N44)</f>
        <v/>
      </c>
      <c r="M37" s="602">
        <f>NISTmap!O44</f>
        <v>0</v>
      </c>
      <c r="N37" s="601">
        <f ca="1">IF(O37=0, "", NISTmap!Q44)</f>
        <v>0</v>
      </c>
      <c r="O37" s="603">
        <f>NISTmap!R44</f>
        <v>3</v>
      </c>
      <c r="P37" s="601">
        <f ca="1">IF(Q37=0, "", NISTmap!T44)</f>
        <v>0</v>
      </c>
      <c r="Q37" s="603">
        <f>NISTmap!U44</f>
        <v>2</v>
      </c>
      <c r="R37" s="579"/>
      <c r="S37" s="26"/>
    </row>
    <row r="38" spans="1:19" ht="30" customHeight="1" x14ac:dyDescent="0.25">
      <c r="A38" s="3"/>
      <c r="B38" s="574"/>
      <c r="C38" s="595"/>
      <c r="D38" s="1273" t="s">
        <v>1507</v>
      </c>
      <c r="E38" s="622" t="s">
        <v>1743</v>
      </c>
      <c r="F38" s="606" t="s">
        <v>1744</v>
      </c>
      <c r="G38" s="1270" t="s">
        <v>1745</v>
      </c>
      <c r="H38" s="1096" t="s">
        <v>1515</v>
      </c>
      <c r="I38" s="607" t="s">
        <v>1746</v>
      </c>
      <c r="J38" s="1087">
        <f ca="1">IF(K38=0, "", NISTmap!K45)</f>
        <v>0</v>
      </c>
      <c r="K38" s="608">
        <f>NISTmap!L45</f>
        <v>10</v>
      </c>
      <c r="L38" s="609">
        <f ca="1">IF(M38=0, "", NISTmap!N45)</f>
        <v>0</v>
      </c>
      <c r="M38" s="610">
        <f>NISTmap!O45</f>
        <v>5</v>
      </c>
      <c r="N38" s="609">
        <f ca="1">IF(O38=0, "", NISTmap!Q45)</f>
        <v>0</v>
      </c>
      <c r="O38" s="611">
        <f>NISTmap!R45</f>
        <v>4</v>
      </c>
      <c r="P38" s="609">
        <f ca="1">IF(Q38=0, "", NISTmap!T45)</f>
        <v>0</v>
      </c>
      <c r="Q38" s="611">
        <f>NISTmap!U45</f>
        <v>1</v>
      </c>
      <c r="R38" s="579"/>
      <c r="S38" s="26"/>
    </row>
    <row r="39" spans="1:19" ht="30" customHeight="1" x14ac:dyDescent="0.25">
      <c r="A39" s="3"/>
      <c r="B39" s="574"/>
      <c r="C39" s="595"/>
      <c r="D39" s="1273"/>
      <c r="E39" s="623"/>
      <c r="F39" s="613" t="s">
        <v>1698</v>
      </c>
      <c r="G39" s="1271"/>
      <c r="H39" s="1097" t="s">
        <v>1526</v>
      </c>
      <c r="I39" s="614" t="s">
        <v>1747</v>
      </c>
      <c r="J39" s="1088">
        <f ca="1">IF(K39=0, "", NISTmap!K46)</f>
        <v>0</v>
      </c>
      <c r="K39" s="600">
        <f>NISTmap!L46</f>
        <v>14</v>
      </c>
      <c r="L39" s="601">
        <f ca="1">IF(M39=0, "", NISTmap!N46)</f>
        <v>0</v>
      </c>
      <c r="M39" s="602">
        <f>NISTmap!O46</f>
        <v>5</v>
      </c>
      <c r="N39" s="601">
        <f ca="1">IF(O39=0, "", NISTmap!Q46)</f>
        <v>0</v>
      </c>
      <c r="O39" s="603">
        <f>NISTmap!R46</f>
        <v>7</v>
      </c>
      <c r="P39" s="601">
        <f ca="1">IF(Q39=0, "", NISTmap!T46)</f>
        <v>0</v>
      </c>
      <c r="Q39" s="603">
        <f>NISTmap!U46</f>
        <v>2</v>
      </c>
      <c r="R39" s="579"/>
      <c r="S39" s="26"/>
    </row>
    <row r="40" spans="1:19" ht="30" customHeight="1" x14ac:dyDescent="0.25">
      <c r="A40" s="3"/>
      <c r="B40" s="574"/>
      <c r="C40" s="595"/>
      <c r="D40" s="1273"/>
      <c r="E40" s="623"/>
      <c r="F40" s="613" t="s">
        <v>1698</v>
      </c>
      <c r="G40" s="1271"/>
      <c r="H40" s="1097" t="s">
        <v>1518</v>
      </c>
      <c r="I40" s="614" t="s">
        <v>1748</v>
      </c>
      <c r="J40" s="1088">
        <f ca="1">IF(K40=0, "", NISTmap!K47)</f>
        <v>0</v>
      </c>
      <c r="K40" s="600">
        <f>NISTmap!L47</f>
        <v>7</v>
      </c>
      <c r="L40" s="601">
        <f ca="1">IF(M40=0, "", NISTmap!N47)</f>
        <v>0</v>
      </c>
      <c r="M40" s="602">
        <f>NISTmap!O47</f>
        <v>3</v>
      </c>
      <c r="N40" s="601">
        <f ca="1">IF(O40=0, "", NISTmap!Q47)</f>
        <v>0</v>
      </c>
      <c r="O40" s="603">
        <f>NISTmap!R47</f>
        <v>4</v>
      </c>
      <c r="P40" s="601" t="str">
        <f>IF(Q40=0, "", NISTmap!T47)</f>
        <v/>
      </c>
      <c r="Q40" s="603">
        <f>NISTmap!U47</f>
        <v>0</v>
      </c>
      <c r="R40" s="579"/>
      <c r="S40" s="26"/>
    </row>
    <row r="41" spans="1:19" ht="45" customHeight="1" x14ac:dyDescent="0.25">
      <c r="A41" s="3"/>
      <c r="B41" s="574"/>
      <c r="C41" s="595"/>
      <c r="D41" s="1273"/>
      <c r="E41" s="623"/>
      <c r="F41" s="613" t="s">
        <v>1698</v>
      </c>
      <c r="G41" s="1271"/>
      <c r="H41" s="1097" t="s">
        <v>1522</v>
      </c>
      <c r="I41" s="614" t="s">
        <v>1749</v>
      </c>
      <c r="J41" s="1088">
        <f ca="1">IF(K41=0, "", NISTmap!K48)</f>
        <v>0</v>
      </c>
      <c r="K41" s="600">
        <f>NISTmap!L48</f>
        <v>16</v>
      </c>
      <c r="L41" s="601">
        <f ca="1">IF(M41=0, "", NISTmap!N48)</f>
        <v>0</v>
      </c>
      <c r="M41" s="602">
        <f>NISTmap!O48</f>
        <v>2</v>
      </c>
      <c r="N41" s="601">
        <f ca="1">IF(O41=0, "", NISTmap!Q48)</f>
        <v>0</v>
      </c>
      <c r="O41" s="603">
        <f>NISTmap!R48</f>
        <v>12</v>
      </c>
      <c r="P41" s="601">
        <f ca="1">IF(Q41=0, "", NISTmap!T48)</f>
        <v>0</v>
      </c>
      <c r="Q41" s="603">
        <f>NISTmap!U48</f>
        <v>2</v>
      </c>
      <c r="R41" s="579"/>
      <c r="S41" s="26"/>
    </row>
    <row r="42" spans="1:19" ht="30" customHeight="1" x14ac:dyDescent="0.25">
      <c r="A42" s="3"/>
      <c r="B42" s="574"/>
      <c r="C42" s="595"/>
      <c r="D42" s="1273"/>
      <c r="E42" s="623"/>
      <c r="F42" s="613" t="s">
        <v>1698</v>
      </c>
      <c r="G42" s="1271"/>
      <c r="H42" s="1097" t="s">
        <v>1532</v>
      </c>
      <c r="I42" s="614" t="s">
        <v>1750</v>
      </c>
      <c r="J42" s="1088">
        <f ca="1">IF(K42=0, "", NISTmap!K49)</f>
        <v>0</v>
      </c>
      <c r="K42" s="600">
        <f>NISTmap!L49</f>
        <v>10</v>
      </c>
      <c r="L42" s="601">
        <f ca="1">IF(M42=0, "", NISTmap!N49)</f>
        <v>0</v>
      </c>
      <c r="M42" s="602">
        <f>NISTmap!O49</f>
        <v>2</v>
      </c>
      <c r="N42" s="601">
        <f ca="1">IF(O42=0, "", NISTmap!Q49)</f>
        <v>0</v>
      </c>
      <c r="O42" s="603">
        <f>NISTmap!R49</f>
        <v>4</v>
      </c>
      <c r="P42" s="601">
        <f ca="1">IF(Q42=0, "", NISTmap!T49)</f>
        <v>0</v>
      </c>
      <c r="Q42" s="603">
        <f>NISTmap!U49</f>
        <v>4</v>
      </c>
      <c r="R42" s="579"/>
      <c r="S42" s="26"/>
    </row>
    <row r="43" spans="1:19" ht="30" customHeight="1" x14ac:dyDescent="0.25">
      <c r="A43" s="3"/>
      <c r="B43" s="574"/>
      <c r="C43" s="595"/>
      <c r="D43" s="1273"/>
      <c r="E43" s="623"/>
      <c r="F43" s="613" t="s">
        <v>1698</v>
      </c>
      <c r="G43" s="1271"/>
      <c r="H43" s="1097" t="s">
        <v>1516</v>
      </c>
      <c r="I43" s="614" t="s">
        <v>1751</v>
      </c>
      <c r="J43" s="1088">
        <f ca="1">IF(K43=0, "", NISTmap!K50)</f>
        <v>0</v>
      </c>
      <c r="K43" s="600">
        <f>NISTmap!L50</f>
        <v>4</v>
      </c>
      <c r="L43" s="601">
        <f ca="1">IF(M43=0, "", NISTmap!N50)</f>
        <v>0</v>
      </c>
      <c r="M43" s="602">
        <f>NISTmap!O50</f>
        <v>3</v>
      </c>
      <c r="N43" s="601">
        <f ca="1">IF(O43=0, "", NISTmap!Q50)</f>
        <v>0</v>
      </c>
      <c r="O43" s="603">
        <f>NISTmap!R50</f>
        <v>1</v>
      </c>
      <c r="P43" s="601" t="str">
        <f>IF(Q43=0, "", NISTmap!T50)</f>
        <v/>
      </c>
      <c r="Q43" s="603">
        <f>NISTmap!U50</f>
        <v>0</v>
      </c>
      <c r="R43" s="579"/>
      <c r="S43" s="26"/>
    </row>
    <row r="44" spans="1:19" ht="60" customHeight="1" x14ac:dyDescent="0.25">
      <c r="A44" s="3"/>
      <c r="B44" s="574"/>
      <c r="C44" s="595"/>
      <c r="D44" s="1273"/>
      <c r="E44" s="623"/>
      <c r="F44" s="613" t="s">
        <v>1698</v>
      </c>
      <c r="G44" s="1271"/>
      <c r="H44" s="1097" t="s">
        <v>1517</v>
      </c>
      <c r="I44" s="614" t="s">
        <v>1752</v>
      </c>
      <c r="J44" s="1089">
        <f ca="1">IF(K44=0, "", NISTmap!K51)</f>
        <v>0</v>
      </c>
      <c r="K44" s="618">
        <f>NISTmap!L51</f>
        <v>6</v>
      </c>
      <c r="L44" s="619">
        <f ca="1">IF(M44=0, "", NISTmap!N51)</f>
        <v>0</v>
      </c>
      <c r="M44" s="620">
        <f>NISTmap!O51</f>
        <v>2</v>
      </c>
      <c r="N44" s="619">
        <f ca="1">IF(O44=0, "", NISTmap!Q51)</f>
        <v>0</v>
      </c>
      <c r="O44" s="621">
        <f>NISTmap!R51</f>
        <v>2</v>
      </c>
      <c r="P44" s="619">
        <f ca="1">IF(Q44=0, "", NISTmap!T51)</f>
        <v>0</v>
      </c>
      <c r="Q44" s="621">
        <f>NISTmap!U51</f>
        <v>2</v>
      </c>
      <c r="R44" s="579"/>
      <c r="S44" s="26"/>
    </row>
    <row r="45" spans="1:19" ht="30" customHeight="1" x14ac:dyDescent="0.25">
      <c r="A45" s="3"/>
      <c r="B45" s="574"/>
      <c r="C45" s="595"/>
      <c r="D45" s="1273"/>
      <c r="E45" s="605" t="s">
        <v>1753</v>
      </c>
      <c r="F45" s="606" t="s">
        <v>1754</v>
      </c>
      <c r="G45" s="1270" t="s">
        <v>1755</v>
      </c>
      <c r="H45" s="1096" t="s">
        <v>1619</v>
      </c>
      <c r="I45" s="607" t="s">
        <v>1756</v>
      </c>
      <c r="J45" s="1087">
        <f ca="1">IF(K45=0, "", NISTmap!K52)</f>
        <v>0</v>
      </c>
      <c r="K45" s="608">
        <f>NISTmap!L52</f>
        <v>16</v>
      </c>
      <c r="L45" s="609">
        <f ca="1">IF(M45=0, "", NISTmap!N52)</f>
        <v>0</v>
      </c>
      <c r="M45" s="610">
        <f>NISTmap!O52</f>
        <v>2</v>
      </c>
      <c r="N45" s="609">
        <f ca="1">IF(O45=0, "", NISTmap!Q52)</f>
        <v>0</v>
      </c>
      <c r="O45" s="611">
        <f>NISTmap!R52</f>
        <v>3</v>
      </c>
      <c r="P45" s="609">
        <f ca="1">IF(Q45=0, "", NISTmap!T52)</f>
        <v>0</v>
      </c>
      <c r="Q45" s="611">
        <f>NISTmap!U52</f>
        <v>11</v>
      </c>
      <c r="R45" s="579"/>
      <c r="S45" s="26"/>
    </row>
    <row r="46" spans="1:19" ht="30" customHeight="1" x14ac:dyDescent="0.25">
      <c r="A46" s="3"/>
      <c r="B46" s="574"/>
      <c r="C46" s="595"/>
      <c r="D46" s="1273"/>
      <c r="E46" s="612"/>
      <c r="F46" s="613" t="s">
        <v>1698</v>
      </c>
      <c r="G46" s="1271"/>
      <c r="H46" s="1097" t="s">
        <v>1615</v>
      </c>
      <c r="I46" s="614" t="s">
        <v>1757</v>
      </c>
      <c r="J46" s="1088">
        <f ca="1">IF(K46=0, "", NISTmap!K53)</f>
        <v>0</v>
      </c>
      <c r="K46" s="600">
        <f>NISTmap!L53</f>
        <v>15</v>
      </c>
      <c r="L46" s="601">
        <f ca="1">IF(M46=0, "", NISTmap!N53)</f>
        <v>0</v>
      </c>
      <c r="M46" s="602">
        <f>NISTmap!O53</f>
        <v>1</v>
      </c>
      <c r="N46" s="601">
        <f ca="1">IF(O46=0, "", NISTmap!Q53)</f>
        <v>0</v>
      </c>
      <c r="O46" s="603">
        <f>NISTmap!R53</f>
        <v>4</v>
      </c>
      <c r="P46" s="601">
        <f ca="1">IF(Q46=0, "", NISTmap!T53)</f>
        <v>0</v>
      </c>
      <c r="Q46" s="603">
        <f>NISTmap!U53</f>
        <v>10</v>
      </c>
      <c r="R46" s="579"/>
      <c r="S46" s="26"/>
    </row>
    <row r="47" spans="1:19" ht="30" customHeight="1" x14ac:dyDescent="0.25">
      <c r="A47" s="3"/>
      <c r="B47" s="574"/>
      <c r="C47" s="595"/>
      <c r="D47" s="1273"/>
      <c r="E47" s="612"/>
      <c r="F47" s="613" t="s">
        <v>1698</v>
      </c>
      <c r="G47" s="1271"/>
      <c r="H47" s="1097" t="s">
        <v>1616</v>
      </c>
      <c r="I47" s="614" t="s">
        <v>1758</v>
      </c>
      <c r="J47" s="1088">
        <f ca="1">IF(K47=0, "", NISTmap!K54)</f>
        <v>0</v>
      </c>
      <c r="K47" s="600">
        <f>NISTmap!L54</f>
        <v>17</v>
      </c>
      <c r="L47" s="601">
        <f ca="1">IF(M47=0, "", NISTmap!N54)</f>
        <v>0</v>
      </c>
      <c r="M47" s="602">
        <f>NISTmap!O54</f>
        <v>2</v>
      </c>
      <c r="N47" s="601">
        <f ca="1">IF(O47=0, "", NISTmap!Q54)</f>
        <v>0</v>
      </c>
      <c r="O47" s="603">
        <f>NISTmap!R54</f>
        <v>5</v>
      </c>
      <c r="P47" s="601">
        <f ca="1">IF(Q47=0, "", NISTmap!T54)</f>
        <v>0</v>
      </c>
      <c r="Q47" s="603">
        <f>NISTmap!U54</f>
        <v>10</v>
      </c>
      <c r="R47" s="579"/>
      <c r="S47" s="26"/>
    </row>
    <row r="48" spans="1:19" ht="30" customHeight="1" x14ac:dyDescent="0.25">
      <c r="A48" s="3"/>
      <c r="B48" s="574"/>
      <c r="C48" s="595"/>
      <c r="D48" s="1273"/>
      <c r="E48" s="612"/>
      <c r="F48" s="613" t="s">
        <v>1698</v>
      </c>
      <c r="G48" s="1271"/>
      <c r="H48" s="1097" t="s">
        <v>1565</v>
      </c>
      <c r="I48" s="614" t="s">
        <v>1759</v>
      </c>
      <c r="J48" s="1088">
        <f ca="1">IF(K48=0, "", NISTmap!K55)</f>
        <v>0</v>
      </c>
      <c r="K48" s="600">
        <f>NISTmap!L55</f>
        <v>16</v>
      </c>
      <c r="L48" s="601">
        <f ca="1">IF(M48=0, "", NISTmap!N55)</f>
        <v>0</v>
      </c>
      <c r="M48" s="602">
        <f>NISTmap!O55</f>
        <v>1</v>
      </c>
      <c r="N48" s="601">
        <f ca="1">IF(O48=0, "", NISTmap!Q55)</f>
        <v>0</v>
      </c>
      <c r="O48" s="603">
        <f>NISTmap!R55</f>
        <v>5</v>
      </c>
      <c r="P48" s="601">
        <f ca="1">IF(Q48=0, "", NISTmap!T55)</f>
        <v>0</v>
      </c>
      <c r="Q48" s="603">
        <f>NISTmap!U55</f>
        <v>10</v>
      </c>
      <c r="R48" s="579"/>
      <c r="S48" s="26"/>
    </row>
    <row r="49" spans="1:19" ht="30" customHeight="1" x14ac:dyDescent="0.25">
      <c r="A49" s="3"/>
      <c r="B49" s="574"/>
      <c r="C49" s="595"/>
      <c r="D49" s="1273"/>
      <c r="E49" s="615"/>
      <c r="F49" s="616" t="s">
        <v>1698</v>
      </c>
      <c r="G49" s="1272"/>
      <c r="H49" s="1098" t="s">
        <v>1617</v>
      </c>
      <c r="I49" s="617" t="s">
        <v>1760</v>
      </c>
      <c r="J49" s="1089">
        <f ca="1">IF(K49=0, "", NISTmap!K56)</f>
        <v>0</v>
      </c>
      <c r="K49" s="618">
        <f>NISTmap!L56</f>
        <v>15</v>
      </c>
      <c r="L49" s="619">
        <f ca="1">IF(M49=0, "", NISTmap!N56)</f>
        <v>0</v>
      </c>
      <c r="M49" s="620">
        <f>NISTmap!O56</f>
        <v>1</v>
      </c>
      <c r="N49" s="619">
        <f ca="1">IF(O49=0, "", NISTmap!Q56)</f>
        <v>0</v>
      </c>
      <c r="O49" s="621">
        <f>NISTmap!R56</f>
        <v>4</v>
      </c>
      <c r="P49" s="619">
        <f ca="1">IF(Q49=0, "", NISTmap!T56)</f>
        <v>0</v>
      </c>
      <c r="Q49" s="621">
        <f>NISTmap!U56</f>
        <v>10</v>
      </c>
      <c r="R49" s="579"/>
      <c r="S49" s="26"/>
    </row>
    <row r="50" spans="1:19" ht="30" customHeight="1" x14ac:dyDescent="0.25">
      <c r="A50" s="3"/>
      <c r="B50" s="574"/>
      <c r="C50" s="595"/>
      <c r="D50" s="1273"/>
      <c r="E50" s="623" t="s">
        <v>1761</v>
      </c>
      <c r="F50" s="613" t="s">
        <v>1762</v>
      </c>
      <c r="G50" s="1271" t="s">
        <v>1763</v>
      </c>
      <c r="H50" s="1097" t="s">
        <v>1546</v>
      </c>
      <c r="I50" s="614" t="s">
        <v>1764</v>
      </c>
      <c r="J50" s="1087">
        <f ca="1">IF(K50=0, "", NISTmap!K57)</f>
        <v>0</v>
      </c>
      <c r="K50" s="608">
        <f>NISTmap!L57</f>
        <v>10</v>
      </c>
      <c r="L50" s="609">
        <f ca="1">IF(M50=0, "", NISTmap!N57)</f>
        <v>0</v>
      </c>
      <c r="M50" s="610">
        <f>NISTmap!O57</f>
        <v>1</v>
      </c>
      <c r="N50" s="609">
        <f ca="1">IF(O50=0, "", NISTmap!Q57)</f>
        <v>0</v>
      </c>
      <c r="O50" s="611">
        <f>NISTmap!R57</f>
        <v>6</v>
      </c>
      <c r="P50" s="609">
        <f ca="1">IF(Q50=0, "", NISTmap!T57)</f>
        <v>0</v>
      </c>
      <c r="Q50" s="611">
        <f>NISTmap!U57</f>
        <v>3</v>
      </c>
      <c r="R50" s="579"/>
      <c r="S50" s="26"/>
    </row>
    <row r="51" spans="1:19" ht="30" customHeight="1" x14ac:dyDescent="0.25">
      <c r="A51" s="3"/>
      <c r="B51" s="574"/>
      <c r="C51" s="595"/>
      <c r="D51" s="1273"/>
      <c r="E51" s="623"/>
      <c r="F51" s="613" t="s">
        <v>1698</v>
      </c>
      <c r="G51" s="1271"/>
      <c r="H51" s="1097" t="s">
        <v>1547</v>
      </c>
      <c r="I51" s="614" t="s">
        <v>1765</v>
      </c>
      <c r="J51" s="1088">
        <f ca="1">IF(K51=0, "", NISTmap!K58)</f>
        <v>0</v>
      </c>
      <c r="K51" s="600">
        <f>NISTmap!L58</f>
        <v>6</v>
      </c>
      <c r="L51" s="601" t="str">
        <f>IF(M51=0, "", NISTmap!N58)</f>
        <v/>
      </c>
      <c r="M51" s="602">
        <f>NISTmap!O58</f>
        <v>0</v>
      </c>
      <c r="N51" s="601">
        <f ca="1">IF(O51=0, "", NISTmap!Q58)</f>
        <v>0</v>
      </c>
      <c r="O51" s="603">
        <f>NISTmap!R58</f>
        <v>4</v>
      </c>
      <c r="P51" s="601">
        <f ca="1">IF(Q51=0, "", NISTmap!T58)</f>
        <v>0</v>
      </c>
      <c r="Q51" s="603">
        <f>NISTmap!U58</f>
        <v>2</v>
      </c>
      <c r="R51" s="579"/>
      <c r="S51" s="26"/>
    </row>
    <row r="52" spans="1:19" ht="30" customHeight="1" x14ac:dyDescent="0.25">
      <c r="A52" s="3"/>
      <c r="B52" s="574"/>
      <c r="C52" s="595"/>
      <c r="D52" s="1273"/>
      <c r="E52" s="623"/>
      <c r="F52" s="613" t="s">
        <v>1698</v>
      </c>
      <c r="G52" s="1271"/>
      <c r="H52" s="1097" t="s">
        <v>1540</v>
      </c>
      <c r="I52" s="614" t="s">
        <v>1766</v>
      </c>
      <c r="J52" s="1088">
        <f ca="1">IF(K52=0, "", NISTmap!K59)</f>
        <v>0</v>
      </c>
      <c r="K52" s="600">
        <f>NISTmap!L59</f>
        <v>14</v>
      </c>
      <c r="L52" s="601">
        <f ca="1">IF(M52=0, "", NISTmap!N59)</f>
        <v>0</v>
      </c>
      <c r="M52" s="602">
        <f>NISTmap!O59</f>
        <v>4</v>
      </c>
      <c r="N52" s="601">
        <f ca="1">IF(O52=0, "", NISTmap!Q59)</f>
        <v>0</v>
      </c>
      <c r="O52" s="603">
        <f>NISTmap!R59</f>
        <v>4</v>
      </c>
      <c r="P52" s="601">
        <f ca="1">IF(Q52=0, "", NISTmap!T59)</f>
        <v>0</v>
      </c>
      <c r="Q52" s="603">
        <f>NISTmap!U59</f>
        <v>6</v>
      </c>
      <c r="R52" s="579"/>
      <c r="S52" s="26"/>
    </row>
    <row r="53" spans="1:19" ht="30" customHeight="1" x14ac:dyDescent="0.25">
      <c r="A53" s="3"/>
      <c r="B53" s="574"/>
      <c r="C53" s="595"/>
      <c r="D53" s="1273"/>
      <c r="E53" s="623"/>
      <c r="F53" s="613" t="s">
        <v>1698</v>
      </c>
      <c r="G53" s="1271"/>
      <c r="H53" s="1097" t="s">
        <v>1534</v>
      </c>
      <c r="I53" s="614" t="s">
        <v>1767</v>
      </c>
      <c r="J53" s="1088">
        <f ca="1">IF(K53=0, "", NISTmap!K60)</f>
        <v>0</v>
      </c>
      <c r="K53" s="600">
        <f>NISTmap!L60</f>
        <v>8</v>
      </c>
      <c r="L53" s="601">
        <f ca="1">IF(M53=0, "", NISTmap!N60)</f>
        <v>0</v>
      </c>
      <c r="M53" s="602">
        <f>NISTmap!O60</f>
        <v>3</v>
      </c>
      <c r="N53" s="601">
        <f ca="1">IF(O53=0, "", NISTmap!Q60)</f>
        <v>0</v>
      </c>
      <c r="O53" s="603">
        <f>NISTmap!R60</f>
        <v>5</v>
      </c>
      <c r="P53" s="601" t="str">
        <f>IF(Q53=0, "", NISTmap!T60)</f>
        <v/>
      </c>
      <c r="Q53" s="603">
        <f>NISTmap!U60</f>
        <v>0</v>
      </c>
      <c r="R53" s="579"/>
      <c r="S53" s="26"/>
    </row>
    <row r="54" spans="1:19" ht="30" customHeight="1" x14ac:dyDescent="0.25">
      <c r="A54" s="3"/>
      <c r="B54" s="574"/>
      <c r="C54" s="595"/>
      <c r="D54" s="1273"/>
      <c r="E54" s="623"/>
      <c r="F54" s="613" t="s">
        <v>1698</v>
      </c>
      <c r="G54" s="1271"/>
      <c r="H54" s="1097" t="s">
        <v>1535</v>
      </c>
      <c r="I54" s="614" t="s">
        <v>1768</v>
      </c>
      <c r="J54" s="1088">
        <f ca="1">IF(K54=0, "", NISTmap!K61)</f>
        <v>0</v>
      </c>
      <c r="K54" s="600">
        <f>NISTmap!L61</f>
        <v>11</v>
      </c>
      <c r="L54" s="601">
        <f ca="1">IF(M54=0, "", NISTmap!N61)</f>
        <v>0</v>
      </c>
      <c r="M54" s="602">
        <f>NISTmap!O61</f>
        <v>3</v>
      </c>
      <c r="N54" s="601">
        <f ca="1">IF(O54=0, "", NISTmap!Q61)</f>
        <v>0</v>
      </c>
      <c r="O54" s="603">
        <f>NISTmap!R61</f>
        <v>5</v>
      </c>
      <c r="P54" s="601">
        <f ca="1">IF(Q54=0, "", NISTmap!T61)</f>
        <v>0</v>
      </c>
      <c r="Q54" s="603">
        <f>NISTmap!U61</f>
        <v>3</v>
      </c>
      <c r="R54" s="579"/>
      <c r="S54" s="26"/>
    </row>
    <row r="55" spans="1:19" ht="30" customHeight="1" x14ac:dyDescent="0.25">
      <c r="A55" s="3"/>
      <c r="B55" s="574"/>
      <c r="C55" s="595"/>
      <c r="D55" s="1273"/>
      <c r="E55" s="623"/>
      <c r="F55" s="613" t="s">
        <v>1698</v>
      </c>
      <c r="G55" s="1271"/>
      <c r="H55" s="1097" t="s">
        <v>1538</v>
      </c>
      <c r="I55" s="614" t="s">
        <v>1769</v>
      </c>
      <c r="J55" s="1088">
        <f ca="1">IF(K55=0, "", NISTmap!K62)</f>
        <v>0</v>
      </c>
      <c r="K55" s="600">
        <f>NISTmap!L62</f>
        <v>5</v>
      </c>
      <c r="L55" s="601" t="str">
        <f>IF(M55=0, "", NISTmap!N62)</f>
        <v/>
      </c>
      <c r="M55" s="602">
        <f>NISTmap!O62</f>
        <v>0</v>
      </c>
      <c r="N55" s="601">
        <f ca="1">IF(O55=0, "", NISTmap!Q62)</f>
        <v>0</v>
      </c>
      <c r="O55" s="603">
        <f>NISTmap!R62</f>
        <v>1</v>
      </c>
      <c r="P55" s="601">
        <f ca="1">IF(Q55=0, "", NISTmap!T62)</f>
        <v>0</v>
      </c>
      <c r="Q55" s="603">
        <f>NISTmap!U62</f>
        <v>4</v>
      </c>
      <c r="R55" s="579"/>
      <c r="S55" s="26"/>
    </row>
    <row r="56" spans="1:19" ht="30" customHeight="1" x14ac:dyDescent="0.25">
      <c r="A56" s="3"/>
      <c r="B56" s="574"/>
      <c r="C56" s="595"/>
      <c r="D56" s="1273"/>
      <c r="E56" s="623"/>
      <c r="F56" s="613" t="s">
        <v>1698</v>
      </c>
      <c r="G56" s="1271"/>
      <c r="H56" s="1097" t="s">
        <v>1542</v>
      </c>
      <c r="I56" s="614" t="s">
        <v>1770</v>
      </c>
      <c r="J56" s="1088">
        <f ca="1">IF(K56=0, "", NISTmap!K63)</f>
        <v>0</v>
      </c>
      <c r="K56" s="600">
        <f>NISTmap!L63</f>
        <v>4</v>
      </c>
      <c r="L56" s="601" t="str">
        <f>IF(M56=0, "", NISTmap!N63)</f>
        <v/>
      </c>
      <c r="M56" s="602">
        <f>NISTmap!O63</f>
        <v>0</v>
      </c>
      <c r="N56" s="601">
        <f ca="1">IF(O56=0, "", NISTmap!Q63)</f>
        <v>0</v>
      </c>
      <c r="O56" s="603">
        <f>NISTmap!R63</f>
        <v>2</v>
      </c>
      <c r="P56" s="601">
        <f ca="1">IF(Q56=0, "", NISTmap!T63)</f>
        <v>0</v>
      </c>
      <c r="Q56" s="603">
        <f>NISTmap!U63</f>
        <v>2</v>
      </c>
      <c r="R56" s="579"/>
      <c r="S56" s="26"/>
    </row>
    <row r="57" spans="1:19" ht="30" customHeight="1" x14ac:dyDescent="0.25">
      <c r="A57" s="3"/>
      <c r="B57" s="574"/>
      <c r="C57" s="595"/>
      <c r="D57" s="1273"/>
      <c r="E57" s="623"/>
      <c r="F57" s="613" t="s">
        <v>1698</v>
      </c>
      <c r="G57" s="1271"/>
      <c r="H57" s="1097" t="s">
        <v>1539</v>
      </c>
      <c r="I57" s="614" t="s">
        <v>1771</v>
      </c>
      <c r="J57" s="1089">
        <f ca="1">IF(K57=0, "", NISTmap!K64)</f>
        <v>0</v>
      </c>
      <c r="K57" s="618">
        <f>NISTmap!L64</f>
        <v>1</v>
      </c>
      <c r="L57" s="619" t="str">
        <f>IF(M57=0, "", NISTmap!N64)</f>
        <v/>
      </c>
      <c r="M57" s="620">
        <f>NISTmap!O64</f>
        <v>0</v>
      </c>
      <c r="N57" s="619" t="str">
        <f>IF(O57=0, "", NISTmap!Q64)</f>
        <v/>
      </c>
      <c r="O57" s="621">
        <f>NISTmap!R64</f>
        <v>0</v>
      </c>
      <c r="P57" s="619">
        <f ca="1">IF(Q57=0, "", NISTmap!T64)</f>
        <v>0</v>
      </c>
      <c r="Q57" s="621">
        <f>NISTmap!U64</f>
        <v>1</v>
      </c>
      <c r="R57" s="579"/>
      <c r="S57" s="26"/>
    </row>
    <row r="58" spans="1:19" ht="45" customHeight="1" x14ac:dyDescent="0.25">
      <c r="A58" s="3"/>
      <c r="B58" s="574"/>
      <c r="C58" s="595"/>
      <c r="D58" s="1273"/>
      <c r="E58" s="605" t="s">
        <v>1772</v>
      </c>
      <c r="F58" s="606" t="s">
        <v>1773</v>
      </c>
      <c r="G58" s="1270" t="s">
        <v>1774</v>
      </c>
      <c r="H58" s="1096" t="s">
        <v>1555</v>
      </c>
      <c r="I58" s="607" t="s">
        <v>1775</v>
      </c>
      <c r="J58" s="1087">
        <f ca="1">IF(K58=0, "", NISTmap!K65)</f>
        <v>0</v>
      </c>
      <c r="K58" s="608">
        <f>NISTmap!L65</f>
        <v>9</v>
      </c>
      <c r="L58" s="609">
        <f ca="1">IF(M58=0, "", NISTmap!N65)</f>
        <v>0</v>
      </c>
      <c r="M58" s="610">
        <f>NISTmap!O65</f>
        <v>2</v>
      </c>
      <c r="N58" s="609">
        <f ca="1">IF(O58=0, "", NISTmap!Q65)</f>
        <v>0</v>
      </c>
      <c r="O58" s="611">
        <f>NISTmap!R65</f>
        <v>6</v>
      </c>
      <c r="P58" s="609">
        <f ca="1">IF(Q58=0, "", NISTmap!T65)</f>
        <v>0</v>
      </c>
      <c r="Q58" s="611">
        <f>NISTmap!U65</f>
        <v>1</v>
      </c>
      <c r="R58" s="579"/>
      <c r="S58" s="26"/>
    </row>
    <row r="59" spans="1:19" ht="30" customHeight="1" x14ac:dyDescent="0.25">
      <c r="A59" s="3"/>
      <c r="B59" s="574"/>
      <c r="C59" s="595"/>
      <c r="D59" s="1273"/>
      <c r="E59" s="612"/>
      <c r="F59" s="613" t="s">
        <v>1698</v>
      </c>
      <c r="G59" s="1271"/>
      <c r="H59" s="1097" t="s">
        <v>1557</v>
      </c>
      <c r="I59" s="614" t="s">
        <v>1776</v>
      </c>
      <c r="J59" s="1088">
        <f ca="1">IF(K59=0, "", NISTmap!K66)</f>
        <v>0</v>
      </c>
      <c r="K59" s="600">
        <f>NISTmap!L66</f>
        <v>7</v>
      </c>
      <c r="L59" s="601" t="str">
        <f>IF(M59=0, "", NISTmap!N66)</f>
        <v/>
      </c>
      <c r="M59" s="602">
        <f>NISTmap!O66</f>
        <v>0</v>
      </c>
      <c r="N59" s="601">
        <f ca="1">IF(O59=0, "", NISTmap!Q66)</f>
        <v>0</v>
      </c>
      <c r="O59" s="603">
        <f>NISTmap!R66</f>
        <v>2</v>
      </c>
      <c r="P59" s="601">
        <f ca="1">IF(Q59=0, "", NISTmap!T66)</f>
        <v>0</v>
      </c>
      <c r="Q59" s="603">
        <f>NISTmap!U66</f>
        <v>5</v>
      </c>
      <c r="R59" s="579"/>
      <c r="S59" s="26"/>
    </row>
    <row r="60" spans="1:19" ht="30" customHeight="1" x14ac:dyDescent="0.25">
      <c r="A60" s="3"/>
      <c r="B60" s="574"/>
      <c r="C60" s="595"/>
      <c r="D60" s="1273"/>
      <c r="E60" s="612"/>
      <c r="F60" s="613" t="s">
        <v>1698</v>
      </c>
      <c r="G60" s="1271"/>
      <c r="H60" s="1097" t="s">
        <v>1544</v>
      </c>
      <c r="I60" s="614" t="s">
        <v>1777</v>
      </c>
      <c r="J60" s="1088">
        <f ca="1">IF(K60=0, "", NISTmap!K67)</f>
        <v>0</v>
      </c>
      <c r="K60" s="600">
        <f>NISTmap!L67</f>
        <v>15</v>
      </c>
      <c r="L60" s="601">
        <f ca="1">IF(M60=0, "", NISTmap!N67)</f>
        <v>0</v>
      </c>
      <c r="M60" s="602">
        <f>NISTmap!O67</f>
        <v>3</v>
      </c>
      <c r="N60" s="601">
        <f ca="1">IF(O60=0, "", NISTmap!Q67)</f>
        <v>0</v>
      </c>
      <c r="O60" s="603">
        <f>NISTmap!R67</f>
        <v>8</v>
      </c>
      <c r="P60" s="601">
        <f ca="1">IF(Q60=0, "", NISTmap!T67)</f>
        <v>0</v>
      </c>
      <c r="Q60" s="603">
        <f>NISTmap!U67</f>
        <v>4</v>
      </c>
      <c r="R60" s="579"/>
      <c r="S60" s="26"/>
    </row>
    <row r="61" spans="1:19" ht="30" customHeight="1" x14ac:dyDescent="0.25">
      <c r="A61" s="3"/>
      <c r="B61" s="574"/>
      <c r="C61" s="595"/>
      <c r="D61" s="1273"/>
      <c r="E61" s="612"/>
      <c r="F61" s="613" t="s">
        <v>1698</v>
      </c>
      <c r="G61" s="1271"/>
      <c r="H61" s="1097" t="s">
        <v>1600</v>
      </c>
      <c r="I61" s="614" t="s">
        <v>1778</v>
      </c>
      <c r="J61" s="1088">
        <f ca="1">IF(K61=0, "", NISTmap!K68)</f>
        <v>0</v>
      </c>
      <c r="K61" s="600">
        <f>NISTmap!L68</f>
        <v>1</v>
      </c>
      <c r="L61" s="601">
        <f ca="1">IF(M61=0, "", NISTmap!N68)</f>
        <v>0</v>
      </c>
      <c r="M61" s="602">
        <f>NISTmap!O68</f>
        <v>1</v>
      </c>
      <c r="N61" s="601" t="str">
        <f>IF(O61=0, "", NISTmap!Q68)</f>
        <v/>
      </c>
      <c r="O61" s="603">
        <f>NISTmap!R68</f>
        <v>0</v>
      </c>
      <c r="P61" s="601" t="str">
        <f>IF(Q61=0, "", NISTmap!T68)</f>
        <v/>
      </c>
      <c r="Q61" s="603">
        <f>NISTmap!U68</f>
        <v>0</v>
      </c>
      <c r="R61" s="579"/>
      <c r="S61" s="26"/>
    </row>
    <row r="62" spans="1:19" ht="30" customHeight="1" x14ac:dyDescent="0.25">
      <c r="A62" s="3"/>
      <c r="B62" s="574"/>
      <c r="C62" s="595"/>
      <c r="D62" s="1273"/>
      <c r="E62" s="612"/>
      <c r="F62" s="613" t="s">
        <v>1698</v>
      </c>
      <c r="G62" s="1271"/>
      <c r="H62" s="1097" t="s">
        <v>1558</v>
      </c>
      <c r="I62" s="614" t="s">
        <v>1779</v>
      </c>
      <c r="J62" s="1088">
        <f ca="1">IF(K62=0, "", NISTmap!K69)</f>
        <v>0</v>
      </c>
      <c r="K62" s="600">
        <f>NISTmap!L69</f>
        <v>9</v>
      </c>
      <c r="L62" s="601">
        <f ca="1">IF(M62=0, "", NISTmap!N69)</f>
        <v>0</v>
      </c>
      <c r="M62" s="602">
        <f>NISTmap!O69</f>
        <v>1</v>
      </c>
      <c r="N62" s="601">
        <f ca="1">IF(O62=0, "", NISTmap!Q69)</f>
        <v>0</v>
      </c>
      <c r="O62" s="603">
        <f>NISTmap!R69</f>
        <v>5</v>
      </c>
      <c r="P62" s="601">
        <f ca="1">IF(Q62=0, "", NISTmap!T69)</f>
        <v>0</v>
      </c>
      <c r="Q62" s="603">
        <f>NISTmap!U69</f>
        <v>3</v>
      </c>
      <c r="R62" s="579"/>
      <c r="S62" s="26"/>
    </row>
    <row r="63" spans="1:19" ht="30" customHeight="1" x14ac:dyDescent="0.25">
      <c r="A63" s="3"/>
      <c r="B63" s="574"/>
      <c r="C63" s="595"/>
      <c r="D63" s="1273"/>
      <c r="E63" s="612"/>
      <c r="F63" s="613" t="s">
        <v>1698</v>
      </c>
      <c r="G63" s="1271"/>
      <c r="H63" s="1097" t="s">
        <v>1553</v>
      </c>
      <c r="I63" s="614" t="s">
        <v>1780</v>
      </c>
      <c r="J63" s="1088">
        <f ca="1">IF(K63=0, "", NISTmap!K70)</f>
        <v>0</v>
      </c>
      <c r="K63" s="600">
        <f>NISTmap!L70</f>
        <v>3</v>
      </c>
      <c r="L63" s="601" t="str">
        <f>IF(M63=0, "", NISTmap!N70)</f>
        <v/>
      </c>
      <c r="M63" s="602">
        <f>NISTmap!O70</f>
        <v>0</v>
      </c>
      <c r="N63" s="601">
        <f ca="1">IF(O63=0, "", NISTmap!Q70)</f>
        <v>0</v>
      </c>
      <c r="O63" s="603">
        <f>NISTmap!R70</f>
        <v>1</v>
      </c>
      <c r="P63" s="601">
        <f ca="1">IF(Q63=0, "", NISTmap!T70)</f>
        <v>0</v>
      </c>
      <c r="Q63" s="603">
        <f>NISTmap!U70</f>
        <v>2</v>
      </c>
      <c r="R63" s="579"/>
      <c r="S63" s="26"/>
    </row>
    <row r="64" spans="1:19" ht="30" customHeight="1" x14ac:dyDescent="0.25">
      <c r="A64" s="3"/>
      <c r="B64" s="574"/>
      <c r="C64" s="595"/>
      <c r="D64" s="1273"/>
      <c r="E64" s="612"/>
      <c r="F64" s="613" t="s">
        <v>1698</v>
      </c>
      <c r="G64" s="1271"/>
      <c r="H64" s="1097" t="s">
        <v>1781</v>
      </c>
      <c r="I64" s="614" t="s">
        <v>1782</v>
      </c>
      <c r="J64" s="1088">
        <f ca="1">IF(K64=0, "", NISTmap!K71)</f>
        <v>0</v>
      </c>
      <c r="K64" s="600">
        <f>NISTmap!L71</f>
        <v>19</v>
      </c>
      <c r="L64" s="601" t="str">
        <f>IF(M64=0, "", NISTmap!N71)</f>
        <v/>
      </c>
      <c r="M64" s="602">
        <f>NISTmap!O71</f>
        <v>0</v>
      </c>
      <c r="N64" s="601">
        <f ca="1">IF(O64=0, "", NISTmap!Q71)</f>
        <v>0</v>
      </c>
      <c r="O64" s="603">
        <f>NISTmap!R71</f>
        <v>3</v>
      </c>
      <c r="P64" s="601">
        <f ca="1">IF(Q64=0, "", NISTmap!T71)</f>
        <v>0</v>
      </c>
      <c r="Q64" s="603">
        <f>NISTmap!U71</f>
        <v>16</v>
      </c>
      <c r="R64" s="579"/>
      <c r="S64" s="26"/>
    </row>
    <row r="65" spans="1:19" ht="30" customHeight="1" x14ac:dyDescent="0.25">
      <c r="A65" s="3"/>
      <c r="B65" s="574"/>
      <c r="C65" s="595"/>
      <c r="D65" s="1273"/>
      <c r="E65" s="612"/>
      <c r="F65" s="613" t="s">
        <v>1698</v>
      </c>
      <c r="G65" s="1271"/>
      <c r="H65" s="1097" t="s">
        <v>1531</v>
      </c>
      <c r="I65" s="614" t="s">
        <v>1783</v>
      </c>
      <c r="J65" s="1088">
        <f ca="1">IF(K65=0, "", NISTmap!K72)</f>
        <v>0</v>
      </c>
      <c r="K65" s="600">
        <f>NISTmap!L72</f>
        <v>3</v>
      </c>
      <c r="L65" s="601" t="str">
        <f>IF(M65=0, "", NISTmap!N72)</f>
        <v/>
      </c>
      <c r="M65" s="602">
        <f>NISTmap!O72</f>
        <v>0</v>
      </c>
      <c r="N65" s="601">
        <f ca="1">IF(O65=0, "", NISTmap!Q72)</f>
        <v>0</v>
      </c>
      <c r="O65" s="603">
        <f>NISTmap!R72</f>
        <v>1</v>
      </c>
      <c r="P65" s="601">
        <f ca="1">IF(Q65=0, "", NISTmap!T72)</f>
        <v>0</v>
      </c>
      <c r="Q65" s="603">
        <f>NISTmap!U72</f>
        <v>2</v>
      </c>
      <c r="R65" s="579"/>
      <c r="S65" s="26"/>
    </row>
    <row r="66" spans="1:19" ht="45" customHeight="1" x14ac:dyDescent="0.25">
      <c r="A66" s="3"/>
      <c r="B66" s="574"/>
      <c r="C66" s="595"/>
      <c r="D66" s="1273"/>
      <c r="E66" s="612"/>
      <c r="F66" s="613" t="s">
        <v>1698</v>
      </c>
      <c r="G66" s="1271"/>
      <c r="H66" s="1097" t="s">
        <v>1569</v>
      </c>
      <c r="I66" s="614" t="s">
        <v>1784</v>
      </c>
      <c r="J66" s="1088">
        <f ca="1">IF(K66=0, "", NISTmap!K73)</f>
        <v>0</v>
      </c>
      <c r="K66" s="600">
        <f>NISTmap!L73</f>
        <v>15</v>
      </c>
      <c r="L66" s="601">
        <f ca="1">IF(M66=0, "", NISTmap!N73)</f>
        <v>0</v>
      </c>
      <c r="M66" s="602">
        <f>NISTmap!O73</f>
        <v>2</v>
      </c>
      <c r="N66" s="601">
        <f ca="1">IF(O66=0, "", NISTmap!Q73)</f>
        <v>0</v>
      </c>
      <c r="O66" s="603">
        <f>NISTmap!R73</f>
        <v>10</v>
      </c>
      <c r="P66" s="601">
        <f ca="1">IF(Q66=0, "", NISTmap!T73)</f>
        <v>0</v>
      </c>
      <c r="Q66" s="603">
        <f>NISTmap!U73</f>
        <v>3</v>
      </c>
      <c r="R66" s="579"/>
      <c r="S66" s="26"/>
    </row>
    <row r="67" spans="1:19" ht="30" customHeight="1" x14ac:dyDescent="0.25">
      <c r="A67" s="3"/>
      <c r="B67" s="574"/>
      <c r="C67" s="595"/>
      <c r="D67" s="1273"/>
      <c r="E67" s="615"/>
      <c r="F67" s="616" t="s">
        <v>1698</v>
      </c>
      <c r="G67" s="1272"/>
      <c r="H67" s="1098" t="s">
        <v>1594</v>
      </c>
      <c r="I67" s="617" t="s">
        <v>1785</v>
      </c>
      <c r="J67" s="1089">
        <f ca="1">IF(K67=0, "", NISTmap!K74)</f>
        <v>0</v>
      </c>
      <c r="K67" s="618">
        <f>NISTmap!L74</f>
        <v>5</v>
      </c>
      <c r="L67" s="619" t="str">
        <f>IF(M67=0, "", NISTmap!N74)</f>
        <v/>
      </c>
      <c r="M67" s="620">
        <f>NISTmap!O74</f>
        <v>0</v>
      </c>
      <c r="N67" s="619">
        <f ca="1">IF(O67=0, "", NISTmap!Q74)</f>
        <v>0</v>
      </c>
      <c r="O67" s="621">
        <f>NISTmap!R74</f>
        <v>3</v>
      </c>
      <c r="P67" s="619">
        <f ca="1">IF(Q67=0, "", NISTmap!T74)</f>
        <v>0</v>
      </c>
      <c r="Q67" s="621">
        <f>NISTmap!U74</f>
        <v>2</v>
      </c>
      <c r="R67" s="579"/>
      <c r="S67" s="26"/>
    </row>
    <row r="68" spans="1:19" ht="30" customHeight="1" x14ac:dyDescent="0.25">
      <c r="A68" s="3"/>
      <c r="B68" s="574"/>
      <c r="C68" s="595"/>
      <c r="D68" s="1273"/>
      <c r="E68" s="623"/>
      <c r="F68" s="613" t="s">
        <v>1698</v>
      </c>
      <c r="G68" s="1271"/>
      <c r="H68" s="1097" t="s">
        <v>1618</v>
      </c>
      <c r="I68" s="614" t="s">
        <v>1786</v>
      </c>
      <c r="J68" s="1087">
        <f ca="1">IF(K68=0, "", NISTmap!K75)</f>
        <v>0</v>
      </c>
      <c r="K68" s="608">
        <f>NISTmap!L75</f>
        <v>25</v>
      </c>
      <c r="L68" s="609">
        <f ca="1">IF(M68=0, "", NISTmap!N75)</f>
        <v>0</v>
      </c>
      <c r="M68" s="610">
        <f>NISTmap!O75</f>
        <v>9</v>
      </c>
      <c r="N68" s="609">
        <f ca="1">IF(O68=0, "", NISTmap!Q75)</f>
        <v>0</v>
      </c>
      <c r="O68" s="611">
        <f>NISTmap!R75</f>
        <v>10</v>
      </c>
      <c r="P68" s="609">
        <f ca="1">IF(Q68=0, "", NISTmap!T75)</f>
        <v>0</v>
      </c>
      <c r="Q68" s="611">
        <f>NISTmap!U75</f>
        <v>6</v>
      </c>
      <c r="R68" s="579"/>
      <c r="S68" s="26"/>
    </row>
    <row r="69" spans="1:19" ht="30" customHeight="1" x14ac:dyDescent="0.25">
      <c r="A69" s="3"/>
      <c r="B69" s="574"/>
      <c r="C69" s="595"/>
      <c r="D69" s="1273"/>
      <c r="E69" s="623"/>
      <c r="F69" s="613" t="s">
        <v>1698</v>
      </c>
      <c r="G69" s="1271"/>
      <c r="H69" s="1097" t="s">
        <v>1614</v>
      </c>
      <c r="I69" s="614" t="s">
        <v>1787</v>
      </c>
      <c r="J69" s="1088">
        <f ca="1">IF(K69=0, "", NISTmap!K76)</f>
        <v>0</v>
      </c>
      <c r="K69" s="600">
        <f>NISTmap!L76</f>
        <v>2</v>
      </c>
      <c r="L69" s="601" t="str">
        <f>IF(M69=0, "", NISTmap!N76)</f>
        <v/>
      </c>
      <c r="M69" s="602">
        <f>NISTmap!O76</f>
        <v>0</v>
      </c>
      <c r="N69" s="601">
        <f ca="1">IF(O69=0, "", NISTmap!Q76)</f>
        <v>0</v>
      </c>
      <c r="O69" s="603">
        <f>NISTmap!R76</f>
        <v>1</v>
      </c>
      <c r="P69" s="601">
        <f ca="1">IF(Q69=0, "", NISTmap!T76)</f>
        <v>0</v>
      </c>
      <c r="Q69" s="603">
        <f>NISTmap!U76</f>
        <v>1</v>
      </c>
      <c r="R69" s="579"/>
      <c r="S69" s="26"/>
    </row>
    <row r="70" spans="1:19" ht="30" customHeight="1" x14ac:dyDescent="0.25">
      <c r="A70" s="3"/>
      <c r="B70" s="574"/>
      <c r="C70" s="595"/>
      <c r="D70" s="1273"/>
      <c r="E70" s="623" t="s">
        <v>1788</v>
      </c>
      <c r="F70" s="613" t="s">
        <v>1789</v>
      </c>
      <c r="G70" s="1271" t="s">
        <v>1790</v>
      </c>
      <c r="H70" s="1097" t="s">
        <v>1556</v>
      </c>
      <c r="I70" s="614" t="s">
        <v>1791</v>
      </c>
      <c r="J70" s="1088">
        <f ca="1">IF(K70=0, "", NISTmap!K77)</f>
        <v>0</v>
      </c>
      <c r="K70" s="600">
        <f>NISTmap!L77</f>
        <v>8</v>
      </c>
      <c r="L70" s="601">
        <f ca="1">IF(M70=0, "", NISTmap!N77)</f>
        <v>0</v>
      </c>
      <c r="M70" s="602">
        <f>NISTmap!O77</f>
        <v>2</v>
      </c>
      <c r="N70" s="601">
        <f ca="1">IF(O70=0, "", NISTmap!Q77)</f>
        <v>0</v>
      </c>
      <c r="O70" s="603">
        <f>NISTmap!R77</f>
        <v>4</v>
      </c>
      <c r="P70" s="601">
        <f ca="1">IF(Q70=0, "", NISTmap!T77)</f>
        <v>0</v>
      </c>
      <c r="Q70" s="603">
        <f>NISTmap!U77</f>
        <v>2</v>
      </c>
      <c r="R70" s="579"/>
      <c r="S70" s="26"/>
    </row>
    <row r="71" spans="1:19" ht="45" customHeight="1" x14ac:dyDescent="0.25">
      <c r="A71" s="3"/>
      <c r="B71" s="574"/>
      <c r="C71" s="595"/>
      <c r="D71" s="1273"/>
      <c r="E71" s="623"/>
      <c r="F71" s="613" t="s">
        <v>1698</v>
      </c>
      <c r="G71" s="1271"/>
      <c r="H71" s="1097" t="s">
        <v>1521</v>
      </c>
      <c r="I71" s="614" t="s">
        <v>1792</v>
      </c>
      <c r="J71" s="1089">
        <f ca="1">IF(K71=0, "", NISTmap!K78)</f>
        <v>0</v>
      </c>
      <c r="K71" s="618">
        <f>NISTmap!L78</f>
        <v>3</v>
      </c>
      <c r="L71" s="619" t="str">
        <f>IF(M71=0, "", NISTmap!N78)</f>
        <v/>
      </c>
      <c r="M71" s="620">
        <f>NISTmap!O78</f>
        <v>0</v>
      </c>
      <c r="N71" s="619">
        <f ca="1">IF(O71=0, "", NISTmap!Q78)</f>
        <v>0</v>
      </c>
      <c r="O71" s="621">
        <f>NISTmap!R78</f>
        <v>3</v>
      </c>
      <c r="P71" s="619" t="str">
        <f>IF(Q71=0, "", NISTmap!T78)</f>
        <v/>
      </c>
      <c r="Q71" s="621">
        <f>NISTmap!U78</f>
        <v>0</v>
      </c>
      <c r="R71" s="579"/>
      <c r="S71" s="26"/>
    </row>
    <row r="72" spans="1:19" ht="30" customHeight="1" x14ac:dyDescent="0.25">
      <c r="A72" s="3"/>
      <c r="B72" s="574"/>
      <c r="C72" s="595"/>
      <c r="D72" s="1273"/>
      <c r="E72" s="605" t="s">
        <v>1793</v>
      </c>
      <c r="F72" s="606" t="s">
        <v>1794</v>
      </c>
      <c r="G72" s="1270" t="s">
        <v>1795</v>
      </c>
      <c r="H72" s="1096" t="s">
        <v>1528</v>
      </c>
      <c r="I72" s="607" t="s">
        <v>1796</v>
      </c>
      <c r="J72" s="1087">
        <f ca="1">IF(K72=0, "", NISTmap!K79)</f>
        <v>0</v>
      </c>
      <c r="K72" s="608">
        <f>NISTmap!L79</f>
        <v>9</v>
      </c>
      <c r="L72" s="609">
        <f ca="1">IF(M72=0, "", NISTmap!N79)</f>
        <v>0</v>
      </c>
      <c r="M72" s="610">
        <f>NISTmap!O79</f>
        <v>4</v>
      </c>
      <c r="N72" s="609">
        <f ca="1">IF(O72=0, "", NISTmap!Q79)</f>
        <v>0</v>
      </c>
      <c r="O72" s="611">
        <f>NISTmap!R79</f>
        <v>4</v>
      </c>
      <c r="P72" s="609">
        <f ca="1">IF(Q72=0, "", NISTmap!T79)</f>
        <v>0</v>
      </c>
      <c r="Q72" s="611">
        <f>NISTmap!U79</f>
        <v>1</v>
      </c>
      <c r="R72" s="579"/>
      <c r="S72" s="26"/>
    </row>
    <row r="73" spans="1:19" ht="30" customHeight="1" x14ac:dyDescent="0.25">
      <c r="A73" s="3"/>
      <c r="B73" s="574"/>
      <c r="C73" s="595"/>
      <c r="D73" s="1273"/>
      <c r="E73" s="612"/>
      <c r="F73" s="613" t="s">
        <v>1698</v>
      </c>
      <c r="G73" s="1271"/>
      <c r="H73" s="1097" t="s">
        <v>1519</v>
      </c>
      <c r="I73" s="614" t="s">
        <v>1797</v>
      </c>
      <c r="J73" s="1088">
        <f ca="1">IF(K73=0, "", NISTmap!K80)</f>
        <v>0</v>
      </c>
      <c r="K73" s="600">
        <f>NISTmap!L80</f>
        <v>3</v>
      </c>
      <c r="L73" s="601" t="str">
        <f>IF(M73=0, "", NISTmap!N80)</f>
        <v/>
      </c>
      <c r="M73" s="602">
        <f>NISTmap!O80</f>
        <v>0</v>
      </c>
      <c r="N73" s="601">
        <f ca="1">IF(O73=0, "", NISTmap!Q80)</f>
        <v>0</v>
      </c>
      <c r="O73" s="603">
        <f>NISTmap!R80</f>
        <v>1</v>
      </c>
      <c r="P73" s="601">
        <f ca="1">IF(Q73=0, "", NISTmap!T80)</f>
        <v>0</v>
      </c>
      <c r="Q73" s="603">
        <f>NISTmap!U80</f>
        <v>2</v>
      </c>
      <c r="R73" s="579"/>
      <c r="S73" s="26"/>
    </row>
    <row r="74" spans="1:19" ht="30" customHeight="1" x14ac:dyDescent="0.25">
      <c r="A74" s="3"/>
      <c r="B74" s="574"/>
      <c r="C74" s="595"/>
      <c r="D74" s="1273"/>
      <c r="E74" s="612"/>
      <c r="F74" s="613" t="s">
        <v>1698</v>
      </c>
      <c r="G74" s="1271"/>
      <c r="H74" s="1097" t="s">
        <v>1520</v>
      </c>
      <c r="I74" s="614" t="s">
        <v>1798</v>
      </c>
      <c r="J74" s="1088">
        <f ca="1">IF(K74=0, "", NISTmap!K81)</f>
        <v>0</v>
      </c>
      <c r="K74" s="600">
        <f>NISTmap!L81</f>
        <v>5</v>
      </c>
      <c r="L74" s="601" t="str">
        <f>IF(M74=0, "", NISTmap!N81)</f>
        <v/>
      </c>
      <c r="M74" s="602">
        <f>NISTmap!O81</f>
        <v>0</v>
      </c>
      <c r="N74" s="601">
        <f ca="1">IF(O74=0, "", NISTmap!Q81)</f>
        <v>0</v>
      </c>
      <c r="O74" s="603">
        <f>NISTmap!R81</f>
        <v>4</v>
      </c>
      <c r="P74" s="601">
        <f ca="1">IF(Q74=0, "", NISTmap!T81)</f>
        <v>0</v>
      </c>
      <c r="Q74" s="603">
        <f>NISTmap!U81</f>
        <v>1</v>
      </c>
      <c r="R74" s="579"/>
      <c r="S74" s="26"/>
    </row>
    <row r="75" spans="1:19" ht="30" customHeight="1" x14ac:dyDescent="0.25">
      <c r="A75" s="3"/>
      <c r="B75" s="574"/>
      <c r="C75" s="595"/>
      <c r="D75" s="1273"/>
      <c r="E75" s="612"/>
      <c r="F75" s="613" t="s">
        <v>1698</v>
      </c>
      <c r="G75" s="1271"/>
      <c r="H75" s="1097" t="s">
        <v>1533</v>
      </c>
      <c r="I75" s="614" t="s">
        <v>1799</v>
      </c>
      <c r="J75" s="1088">
        <f ca="1">IF(K75=0, "", NISTmap!K82)</f>
        <v>0</v>
      </c>
      <c r="K75" s="600">
        <f>NISTmap!L82</f>
        <v>12</v>
      </c>
      <c r="L75" s="601">
        <f ca="1">IF(M75=0, "", NISTmap!N82)</f>
        <v>0</v>
      </c>
      <c r="M75" s="602">
        <f>NISTmap!O82</f>
        <v>2</v>
      </c>
      <c r="N75" s="601">
        <f ca="1">IF(O75=0, "", NISTmap!Q82)</f>
        <v>0</v>
      </c>
      <c r="O75" s="603">
        <f>NISTmap!R82</f>
        <v>5</v>
      </c>
      <c r="P75" s="601">
        <f ca="1">IF(Q75=0, "", NISTmap!T82)</f>
        <v>0</v>
      </c>
      <c r="Q75" s="603">
        <f>NISTmap!U82</f>
        <v>5</v>
      </c>
      <c r="R75" s="579"/>
      <c r="S75" s="26"/>
    </row>
    <row r="76" spans="1:19" ht="45" customHeight="1" x14ac:dyDescent="0.25">
      <c r="A76" s="3"/>
      <c r="B76" s="574"/>
      <c r="C76" s="595"/>
      <c r="D76" s="1273"/>
      <c r="E76" s="615"/>
      <c r="F76" s="616" t="s">
        <v>1698</v>
      </c>
      <c r="G76" s="1272"/>
      <c r="H76" s="1098" t="s">
        <v>1536</v>
      </c>
      <c r="I76" s="617" t="s">
        <v>1800</v>
      </c>
      <c r="J76" s="1089">
        <f ca="1">IF(K76=0, "", NISTmap!K83)</f>
        <v>0</v>
      </c>
      <c r="K76" s="618">
        <f>NISTmap!L83</f>
        <v>9</v>
      </c>
      <c r="L76" s="619">
        <f ca="1">IF(M76=0, "", NISTmap!N83)</f>
        <v>0</v>
      </c>
      <c r="M76" s="620">
        <f>NISTmap!O83</f>
        <v>3</v>
      </c>
      <c r="N76" s="619">
        <f ca="1">IF(O76=0, "", NISTmap!Q83)</f>
        <v>0</v>
      </c>
      <c r="O76" s="621">
        <f>NISTmap!R83</f>
        <v>4</v>
      </c>
      <c r="P76" s="619">
        <f ca="1">IF(Q76=0, "", NISTmap!T83)</f>
        <v>0</v>
      </c>
      <c r="Q76" s="621">
        <f>NISTmap!U83</f>
        <v>2</v>
      </c>
      <c r="R76" s="579"/>
      <c r="S76" s="26"/>
    </row>
    <row r="77" spans="1:19" ht="30" customHeight="1" x14ac:dyDescent="0.25">
      <c r="A77" s="3"/>
      <c r="B77" s="574"/>
      <c r="C77" s="595"/>
      <c r="D77" s="1278" t="s">
        <v>1508</v>
      </c>
      <c r="E77" s="596" t="s">
        <v>1801</v>
      </c>
      <c r="F77" s="597" t="s">
        <v>1802</v>
      </c>
      <c r="G77" s="1269" t="s">
        <v>1803</v>
      </c>
      <c r="H77" s="1097" t="s">
        <v>1605</v>
      </c>
      <c r="I77" s="598" t="s">
        <v>1804</v>
      </c>
      <c r="J77" s="1087">
        <f ca="1">IF(K77=0, "", NISTmap!K84)</f>
        <v>0</v>
      </c>
      <c r="K77" s="608">
        <f>NISTmap!L84</f>
        <v>2</v>
      </c>
      <c r="L77" s="609" t="str">
        <f>IF(M77=0, "", NISTmap!N84)</f>
        <v/>
      </c>
      <c r="M77" s="610">
        <f>NISTmap!O84</f>
        <v>0</v>
      </c>
      <c r="N77" s="609">
        <f ca="1">IF(O77=0, "", NISTmap!Q84)</f>
        <v>0</v>
      </c>
      <c r="O77" s="611">
        <f>NISTmap!R84</f>
        <v>1</v>
      </c>
      <c r="P77" s="609">
        <f ca="1">IF(Q77=0, "", NISTmap!T84)</f>
        <v>0</v>
      </c>
      <c r="Q77" s="611">
        <f>NISTmap!U84</f>
        <v>1</v>
      </c>
      <c r="R77" s="579"/>
      <c r="S77" s="26"/>
    </row>
    <row r="78" spans="1:19" ht="30" customHeight="1" x14ac:dyDescent="0.25">
      <c r="A78" s="3"/>
      <c r="B78" s="574"/>
      <c r="C78" s="595"/>
      <c r="D78" s="1279"/>
      <c r="E78" s="596"/>
      <c r="F78" s="597" t="s">
        <v>1698</v>
      </c>
      <c r="G78" s="1269"/>
      <c r="H78" s="1097" t="s">
        <v>1582</v>
      </c>
      <c r="I78" s="598" t="s">
        <v>1805</v>
      </c>
      <c r="J78" s="1088">
        <f ca="1">IF(K78=0, "", NISTmap!K85)</f>
        <v>0</v>
      </c>
      <c r="K78" s="600">
        <f>NISTmap!L85</f>
        <v>3</v>
      </c>
      <c r="L78" s="601" t="str">
        <f>IF(M78=0, "", NISTmap!N85)</f>
        <v/>
      </c>
      <c r="M78" s="602">
        <f>NISTmap!O85</f>
        <v>0</v>
      </c>
      <c r="N78" s="601" t="str">
        <f>IF(O78=0, "", NISTmap!Q85)</f>
        <v/>
      </c>
      <c r="O78" s="603">
        <f>NISTmap!R85</f>
        <v>0</v>
      </c>
      <c r="P78" s="601">
        <f ca="1">IF(Q78=0, "", NISTmap!T85)</f>
        <v>0</v>
      </c>
      <c r="Q78" s="603">
        <f>NISTmap!U85</f>
        <v>3</v>
      </c>
      <c r="R78" s="579"/>
      <c r="S78" s="26"/>
    </row>
    <row r="79" spans="1:19" ht="30" customHeight="1" x14ac:dyDescent="0.25">
      <c r="A79" s="3"/>
      <c r="B79" s="574"/>
      <c r="C79" s="595"/>
      <c r="D79" s="1279"/>
      <c r="E79" s="596"/>
      <c r="F79" s="597" t="s">
        <v>1698</v>
      </c>
      <c r="G79" s="1269"/>
      <c r="H79" s="1097" t="s">
        <v>1577</v>
      </c>
      <c r="I79" s="598" t="s">
        <v>1806</v>
      </c>
      <c r="J79" s="1088">
        <f ca="1">IF(K79=0, "", NISTmap!K86)</f>
        <v>0</v>
      </c>
      <c r="K79" s="600">
        <f>NISTmap!L86</f>
        <v>7</v>
      </c>
      <c r="L79" s="601">
        <f ca="1">IF(M79=0, "", NISTmap!N86)</f>
        <v>0</v>
      </c>
      <c r="M79" s="602">
        <f>NISTmap!O86</f>
        <v>1</v>
      </c>
      <c r="N79" s="601">
        <f ca="1">IF(O79=0, "", NISTmap!Q86)</f>
        <v>0</v>
      </c>
      <c r="O79" s="603">
        <f>NISTmap!R86</f>
        <v>3</v>
      </c>
      <c r="P79" s="601">
        <f ca="1">IF(Q79=0, "", NISTmap!T86)</f>
        <v>0</v>
      </c>
      <c r="Q79" s="603">
        <f>NISTmap!U86</f>
        <v>3</v>
      </c>
      <c r="R79" s="579"/>
      <c r="S79" s="26"/>
    </row>
    <row r="80" spans="1:19" ht="30" customHeight="1" x14ac:dyDescent="0.25">
      <c r="A80" s="3"/>
      <c r="B80" s="574"/>
      <c r="C80" s="595"/>
      <c r="D80" s="1279"/>
      <c r="E80" s="596"/>
      <c r="F80" s="597" t="s">
        <v>1698</v>
      </c>
      <c r="G80" s="1269"/>
      <c r="H80" s="1097" t="s">
        <v>1586</v>
      </c>
      <c r="I80" s="598" t="s">
        <v>1807</v>
      </c>
      <c r="J80" s="1088">
        <f ca="1">IF(K80=0, "", NISTmap!K87)</f>
        <v>0</v>
      </c>
      <c r="K80" s="600">
        <f>NISTmap!L87</f>
        <v>3</v>
      </c>
      <c r="L80" s="601">
        <f ca="1">IF(M80=0, "", NISTmap!N87)</f>
        <v>0</v>
      </c>
      <c r="M80" s="602">
        <f>NISTmap!O87</f>
        <v>1</v>
      </c>
      <c r="N80" s="601">
        <f ca="1">IF(O80=0, "", NISTmap!Q87)</f>
        <v>0</v>
      </c>
      <c r="O80" s="603">
        <f>NISTmap!R87</f>
        <v>2</v>
      </c>
      <c r="P80" s="601" t="str">
        <f>IF(Q80=0, "", NISTmap!T87)</f>
        <v/>
      </c>
      <c r="Q80" s="603">
        <f>NISTmap!U87</f>
        <v>0</v>
      </c>
      <c r="R80" s="579"/>
      <c r="S80" s="26"/>
    </row>
    <row r="81" spans="1:19" ht="30" customHeight="1" x14ac:dyDescent="0.25">
      <c r="A81" s="3"/>
      <c r="B81" s="574"/>
      <c r="C81" s="595"/>
      <c r="D81" s="1279"/>
      <c r="E81" s="596"/>
      <c r="F81" s="597" t="s">
        <v>1698</v>
      </c>
      <c r="G81" s="1269"/>
      <c r="H81" s="1097" t="s">
        <v>1584</v>
      </c>
      <c r="I81" s="598" t="s">
        <v>1808</v>
      </c>
      <c r="J81" s="1089">
        <f ca="1">IF(K81=0, "", NISTmap!K88)</f>
        <v>0</v>
      </c>
      <c r="K81" s="618">
        <f>NISTmap!L88</f>
        <v>5</v>
      </c>
      <c r="L81" s="619">
        <f ca="1">IF(M81=0, "", NISTmap!N88)</f>
        <v>0</v>
      </c>
      <c r="M81" s="620">
        <f>NISTmap!O88</f>
        <v>1</v>
      </c>
      <c r="N81" s="619">
        <f ca="1">IF(O81=0, "", NISTmap!Q88)</f>
        <v>0</v>
      </c>
      <c r="O81" s="621">
        <f>NISTmap!R88</f>
        <v>3</v>
      </c>
      <c r="P81" s="619">
        <f ca="1">IF(Q81=0, "", NISTmap!T88)</f>
        <v>0</v>
      </c>
      <c r="Q81" s="621">
        <f>NISTmap!U88</f>
        <v>1</v>
      </c>
      <c r="R81" s="579"/>
      <c r="S81" s="26"/>
    </row>
    <row r="82" spans="1:19" ht="30" customHeight="1" x14ac:dyDescent="0.25">
      <c r="A82" s="3"/>
      <c r="B82" s="574"/>
      <c r="C82" s="595"/>
      <c r="D82" s="1279"/>
      <c r="E82" s="605" t="s">
        <v>1809</v>
      </c>
      <c r="F82" s="606" t="s">
        <v>1810</v>
      </c>
      <c r="G82" s="1270" t="s">
        <v>1811</v>
      </c>
      <c r="H82" s="1096" t="s">
        <v>1537</v>
      </c>
      <c r="I82" s="607" t="s">
        <v>1812</v>
      </c>
      <c r="J82" s="1087">
        <f ca="1">IF(K82=0, "", NISTmap!K89)</f>
        <v>0</v>
      </c>
      <c r="K82" s="608">
        <f>NISTmap!L89</f>
        <v>9</v>
      </c>
      <c r="L82" s="609">
        <f ca="1">IF(M82=0, "", NISTmap!N89)</f>
        <v>0</v>
      </c>
      <c r="M82" s="610">
        <f>NISTmap!O89</f>
        <v>3</v>
      </c>
      <c r="N82" s="609">
        <f ca="1">IF(O82=0, "", NISTmap!Q89)</f>
        <v>0</v>
      </c>
      <c r="O82" s="611">
        <f>NISTmap!R89</f>
        <v>2</v>
      </c>
      <c r="P82" s="609">
        <f ca="1">IF(Q82=0, "", NISTmap!T89)</f>
        <v>0</v>
      </c>
      <c r="Q82" s="611">
        <f>NISTmap!U89</f>
        <v>4</v>
      </c>
      <c r="R82" s="579"/>
      <c r="S82" s="26"/>
    </row>
    <row r="83" spans="1:19" ht="30" customHeight="1" x14ac:dyDescent="0.25">
      <c r="A83" s="3"/>
      <c r="B83" s="574"/>
      <c r="C83" s="595"/>
      <c r="D83" s="1279"/>
      <c r="E83" s="612"/>
      <c r="F83" s="613" t="s">
        <v>1698</v>
      </c>
      <c r="G83" s="1271"/>
      <c r="H83" s="1097" t="s">
        <v>1527</v>
      </c>
      <c r="I83" s="614" t="s">
        <v>1813</v>
      </c>
      <c r="J83" s="1088">
        <f ca="1">IF(K83=0, "", NISTmap!K90)</f>
        <v>0</v>
      </c>
      <c r="K83" s="600">
        <f>NISTmap!L90</f>
        <v>7</v>
      </c>
      <c r="L83" s="601">
        <f ca="1">IF(M83=0, "", NISTmap!N90)</f>
        <v>0</v>
      </c>
      <c r="M83" s="602">
        <f>NISTmap!O90</f>
        <v>1</v>
      </c>
      <c r="N83" s="601">
        <f ca="1">IF(O83=0, "", NISTmap!Q90)</f>
        <v>0</v>
      </c>
      <c r="O83" s="603">
        <f>NISTmap!R90</f>
        <v>2</v>
      </c>
      <c r="P83" s="601">
        <f ca="1">IF(Q83=0, "", NISTmap!T90)</f>
        <v>0</v>
      </c>
      <c r="Q83" s="603">
        <f>NISTmap!U90</f>
        <v>4</v>
      </c>
      <c r="R83" s="579"/>
      <c r="S83" s="26"/>
    </row>
    <row r="84" spans="1:19" ht="30" customHeight="1" x14ac:dyDescent="0.25">
      <c r="A84" s="3"/>
      <c r="B84" s="574"/>
      <c r="C84" s="595"/>
      <c r="D84" s="1279"/>
      <c r="E84" s="612"/>
      <c r="F84" s="613" t="s">
        <v>1698</v>
      </c>
      <c r="G84" s="1271"/>
      <c r="H84" s="1097" t="s">
        <v>1523</v>
      </c>
      <c r="I84" s="614" t="s">
        <v>1814</v>
      </c>
      <c r="J84" s="1088">
        <f ca="1">IF(K84=0, "", NISTmap!K91)</f>
        <v>0</v>
      </c>
      <c r="K84" s="600">
        <f>NISTmap!L91</f>
        <v>8</v>
      </c>
      <c r="L84" s="601">
        <f ca="1">IF(M84=0, "", NISTmap!N91)</f>
        <v>0</v>
      </c>
      <c r="M84" s="602">
        <f>NISTmap!O91</f>
        <v>1</v>
      </c>
      <c r="N84" s="601">
        <f ca="1">IF(O84=0, "", NISTmap!Q91)</f>
        <v>0</v>
      </c>
      <c r="O84" s="603">
        <f>NISTmap!R91</f>
        <v>3</v>
      </c>
      <c r="P84" s="601">
        <f ca="1">IF(Q84=0, "", NISTmap!T91)</f>
        <v>0</v>
      </c>
      <c r="Q84" s="603">
        <f>NISTmap!U91</f>
        <v>4</v>
      </c>
      <c r="R84" s="579"/>
      <c r="S84" s="26"/>
    </row>
    <row r="85" spans="1:19" ht="30" customHeight="1" x14ac:dyDescent="0.25">
      <c r="A85" s="3"/>
      <c r="B85" s="574"/>
      <c r="C85" s="595"/>
      <c r="D85" s="1279"/>
      <c r="E85" s="612"/>
      <c r="F85" s="613" t="s">
        <v>1698</v>
      </c>
      <c r="G85" s="1271"/>
      <c r="H85" s="1097" t="s">
        <v>1541</v>
      </c>
      <c r="I85" s="614" t="s">
        <v>1815</v>
      </c>
      <c r="J85" s="1088">
        <f ca="1">IF(K85=0, "", NISTmap!K92)</f>
        <v>0</v>
      </c>
      <c r="K85" s="600">
        <f>NISTmap!L92</f>
        <v>5</v>
      </c>
      <c r="L85" s="601">
        <f ca="1">IF(M85=0, "", NISTmap!N92)</f>
        <v>0</v>
      </c>
      <c r="M85" s="602">
        <f>NISTmap!O92</f>
        <v>2</v>
      </c>
      <c r="N85" s="601">
        <f ca="1">IF(O85=0, "", NISTmap!Q92)</f>
        <v>0</v>
      </c>
      <c r="O85" s="603">
        <f>NISTmap!R92</f>
        <v>1</v>
      </c>
      <c r="P85" s="601">
        <f ca="1">IF(Q85=0, "", NISTmap!T92)</f>
        <v>0</v>
      </c>
      <c r="Q85" s="603">
        <f>NISTmap!U92</f>
        <v>2</v>
      </c>
      <c r="R85" s="579"/>
      <c r="S85" s="26"/>
    </row>
    <row r="86" spans="1:19" ht="30" customHeight="1" x14ac:dyDescent="0.25">
      <c r="A86" s="3"/>
      <c r="B86" s="574"/>
      <c r="C86" s="595"/>
      <c r="D86" s="1279"/>
      <c r="E86" s="612"/>
      <c r="F86" s="613" t="s">
        <v>1698</v>
      </c>
      <c r="G86" s="1271"/>
      <c r="H86" s="1097" t="s">
        <v>1545</v>
      </c>
      <c r="I86" s="614" t="s">
        <v>1816</v>
      </c>
      <c r="J86" s="1088">
        <f ca="1">IF(K86=0, "", NISTmap!K93)</f>
        <v>0</v>
      </c>
      <c r="K86" s="600">
        <f>NISTmap!L93</f>
        <v>4</v>
      </c>
      <c r="L86" s="601">
        <f ca="1">IF(M86=0, "", NISTmap!N93)</f>
        <v>0</v>
      </c>
      <c r="M86" s="602">
        <f>NISTmap!O93</f>
        <v>2</v>
      </c>
      <c r="N86" s="601" t="str">
        <f>IF(O86=0, "", NISTmap!Q93)</f>
        <v/>
      </c>
      <c r="O86" s="603">
        <f>NISTmap!R93</f>
        <v>0</v>
      </c>
      <c r="P86" s="601">
        <f ca="1">IF(Q86=0, "", NISTmap!T93)</f>
        <v>0</v>
      </c>
      <c r="Q86" s="603">
        <f>NISTmap!U93</f>
        <v>2</v>
      </c>
      <c r="R86" s="579"/>
      <c r="S86" s="26"/>
    </row>
    <row r="87" spans="1:19" ht="30" customHeight="1" x14ac:dyDescent="0.25">
      <c r="A87" s="3"/>
      <c r="B87" s="574"/>
      <c r="C87" s="595"/>
      <c r="D87" s="1279"/>
      <c r="E87" s="612"/>
      <c r="F87" s="613" t="s">
        <v>1698</v>
      </c>
      <c r="G87" s="1271"/>
      <c r="H87" s="1097" t="s">
        <v>1524</v>
      </c>
      <c r="I87" s="614" t="s">
        <v>1817</v>
      </c>
      <c r="J87" s="1088">
        <f ca="1">IF(K87=0, "", NISTmap!K94)</f>
        <v>0</v>
      </c>
      <c r="K87" s="600">
        <f>NISTmap!L94</f>
        <v>7</v>
      </c>
      <c r="L87" s="601">
        <f ca="1">IF(M87=0, "", NISTmap!N94)</f>
        <v>0</v>
      </c>
      <c r="M87" s="602">
        <f>NISTmap!O94</f>
        <v>1</v>
      </c>
      <c r="N87" s="601">
        <f ca="1">IF(O87=0, "", NISTmap!Q94)</f>
        <v>0</v>
      </c>
      <c r="O87" s="603">
        <f>NISTmap!R94</f>
        <v>2</v>
      </c>
      <c r="P87" s="601">
        <f ca="1">IF(Q87=0, "", NISTmap!T94)</f>
        <v>0</v>
      </c>
      <c r="Q87" s="603">
        <f>NISTmap!U94</f>
        <v>4</v>
      </c>
      <c r="R87" s="579"/>
      <c r="S87" s="26"/>
    </row>
    <row r="88" spans="1:19" ht="30" customHeight="1" x14ac:dyDescent="0.25">
      <c r="A88" s="3"/>
      <c r="B88" s="574"/>
      <c r="C88" s="595"/>
      <c r="D88" s="1279"/>
      <c r="E88" s="612"/>
      <c r="F88" s="613" t="s">
        <v>1698</v>
      </c>
      <c r="G88" s="1271"/>
      <c r="H88" s="1097" t="s">
        <v>1525</v>
      </c>
      <c r="I88" s="614" t="s">
        <v>1818</v>
      </c>
      <c r="J88" s="1088">
        <f ca="1">IF(K88=0, "", NISTmap!K95)</f>
        <v>0</v>
      </c>
      <c r="K88" s="600">
        <f>NISTmap!L95</f>
        <v>14</v>
      </c>
      <c r="L88" s="601">
        <f ca="1">IF(M88=0, "", NISTmap!N95)</f>
        <v>0</v>
      </c>
      <c r="M88" s="602">
        <f>NISTmap!O95</f>
        <v>2</v>
      </c>
      <c r="N88" s="601">
        <f ca="1">IF(O88=0, "", NISTmap!Q95)</f>
        <v>0</v>
      </c>
      <c r="O88" s="603">
        <f>NISTmap!R95</f>
        <v>5</v>
      </c>
      <c r="P88" s="601">
        <f ca="1">IF(Q88=0, "", NISTmap!T95)</f>
        <v>0</v>
      </c>
      <c r="Q88" s="603">
        <f>NISTmap!U95</f>
        <v>7</v>
      </c>
      <c r="R88" s="579"/>
      <c r="S88" s="26"/>
    </row>
    <row r="89" spans="1:19" ht="30" customHeight="1" x14ac:dyDescent="0.25">
      <c r="A89" s="3"/>
      <c r="B89" s="574"/>
      <c r="C89" s="595"/>
      <c r="D89" s="1279"/>
      <c r="E89" s="612"/>
      <c r="F89" s="613" t="s">
        <v>1698</v>
      </c>
      <c r="G89" s="1271"/>
      <c r="H89" s="1097" t="s">
        <v>1603</v>
      </c>
      <c r="I89" s="614" t="s">
        <v>1819</v>
      </c>
      <c r="J89" s="1089">
        <f ca="1">IF(K89=0, "", NISTmap!K96)</f>
        <v>0</v>
      </c>
      <c r="K89" s="618">
        <f>NISTmap!L96</f>
        <v>2</v>
      </c>
      <c r="L89" s="619">
        <f ca="1">IF(M89=0, "", NISTmap!N96)</f>
        <v>0</v>
      </c>
      <c r="M89" s="620">
        <f>NISTmap!O96</f>
        <v>1</v>
      </c>
      <c r="N89" s="619">
        <f ca="1">IF(O89=0, "", NISTmap!Q96)</f>
        <v>0</v>
      </c>
      <c r="O89" s="621">
        <f>NISTmap!R96</f>
        <v>1</v>
      </c>
      <c r="P89" s="619" t="str">
        <f>IF(Q89=0, "", NISTmap!T96)</f>
        <v/>
      </c>
      <c r="Q89" s="621">
        <f>NISTmap!U96</f>
        <v>0</v>
      </c>
      <c r="R89" s="579"/>
      <c r="S89" s="26"/>
    </row>
    <row r="90" spans="1:19" ht="30" customHeight="1" x14ac:dyDescent="0.25">
      <c r="A90" s="3"/>
      <c r="B90" s="574"/>
      <c r="C90" s="595"/>
      <c r="D90" s="1279"/>
      <c r="E90" s="605" t="s">
        <v>1820</v>
      </c>
      <c r="F90" s="606" t="s">
        <v>1821</v>
      </c>
      <c r="G90" s="1270" t="s">
        <v>1822</v>
      </c>
      <c r="H90" s="1096" t="s">
        <v>1578</v>
      </c>
      <c r="I90" s="607" t="s">
        <v>1823</v>
      </c>
      <c r="J90" s="1087">
        <f ca="1">IF(K90=0, "", NISTmap!K97)</f>
        <v>0</v>
      </c>
      <c r="K90" s="608">
        <f>NISTmap!L97</f>
        <v>9</v>
      </c>
      <c r="L90" s="609">
        <f ca="1">IF(M90=0, "", NISTmap!N97)</f>
        <v>0</v>
      </c>
      <c r="M90" s="610">
        <f>NISTmap!O97</f>
        <v>3</v>
      </c>
      <c r="N90" s="609">
        <f ca="1">IF(O90=0, "", NISTmap!Q97)</f>
        <v>0</v>
      </c>
      <c r="O90" s="611">
        <f>NISTmap!R97</f>
        <v>3</v>
      </c>
      <c r="P90" s="609">
        <f ca="1">IF(Q90=0, "", NISTmap!T97)</f>
        <v>0</v>
      </c>
      <c r="Q90" s="611">
        <f>NISTmap!U97</f>
        <v>3</v>
      </c>
      <c r="R90" s="579"/>
      <c r="S90" s="26"/>
    </row>
    <row r="91" spans="1:19" ht="30" customHeight="1" x14ac:dyDescent="0.25">
      <c r="A91" s="3"/>
      <c r="B91" s="574"/>
      <c r="C91" s="595"/>
      <c r="D91" s="1279"/>
      <c r="E91" s="612"/>
      <c r="F91" s="613" t="s">
        <v>1698</v>
      </c>
      <c r="G91" s="1271"/>
      <c r="H91" s="1097" t="s">
        <v>1580</v>
      </c>
      <c r="I91" s="614" t="s">
        <v>1824</v>
      </c>
      <c r="J91" s="1088">
        <f ca="1">IF(K91=0, "", NISTmap!K98)</f>
        <v>0</v>
      </c>
      <c r="K91" s="600">
        <f>NISTmap!L98</f>
        <v>6</v>
      </c>
      <c r="L91" s="601" t="str">
        <f>IF(M91=0, "", NISTmap!N98)</f>
        <v/>
      </c>
      <c r="M91" s="602">
        <f>NISTmap!O98</f>
        <v>0</v>
      </c>
      <c r="N91" s="601">
        <f ca="1">IF(O91=0, "", NISTmap!Q98)</f>
        <v>0</v>
      </c>
      <c r="O91" s="603">
        <f>NISTmap!R98</f>
        <v>4</v>
      </c>
      <c r="P91" s="601">
        <f ca="1">IF(Q91=0, "", NISTmap!T98)</f>
        <v>0</v>
      </c>
      <c r="Q91" s="603">
        <f>NISTmap!U98</f>
        <v>2</v>
      </c>
      <c r="R91" s="579"/>
      <c r="S91" s="26"/>
    </row>
    <row r="92" spans="1:19" ht="30" customHeight="1" x14ac:dyDescent="0.25">
      <c r="A92" s="3"/>
      <c r="B92" s="574"/>
      <c r="C92" s="595"/>
      <c r="D92" s="1279"/>
      <c r="E92" s="612"/>
      <c r="F92" s="613" t="s">
        <v>1698</v>
      </c>
      <c r="G92" s="1271"/>
      <c r="H92" s="1097" t="s">
        <v>1588</v>
      </c>
      <c r="I92" s="614" t="s">
        <v>1825</v>
      </c>
      <c r="J92" s="1088">
        <f ca="1">IF(K92=0, "", NISTmap!K99)</f>
        <v>0</v>
      </c>
      <c r="K92" s="600">
        <f>NISTmap!L99</f>
        <v>5</v>
      </c>
      <c r="L92" s="601">
        <f ca="1">IF(M92=0, "", NISTmap!N99)</f>
        <v>0</v>
      </c>
      <c r="M92" s="602">
        <f>NISTmap!O99</f>
        <v>1</v>
      </c>
      <c r="N92" s="601">
        <f ca="1">IF(O92=0, "", NISTmap!Q99)</f>
        <v>0</v>
      </c>
      <c r="O92" s="603">
        <f>NISTmap!R99</f>
        <v>2</v>
      </c>
      <c r="P92" s="601">
        <f ca="1">IF(Q92=0, "", NISTmap!T99)</f>
        <v>0</v>
      </c>
      <c r="Q92" s="603">
        <f>NISTmap!U99</f>
        <v>2</v>
      </c>
      <c r="R92" s="579"/>
      <c r="S92" s="26"/>
    </row>
    <row r="93" spans="1:19" ht="30" customHeight="1" x14ac:dyDescent="0.25">
      <c r="A93" s="3"/>
      <c r="B93" s="574"/>
      <c r="C93" s="595"/>
      <c r="D93" s="1279"/>
      <c r="E93" s="612"/>
      <c r="F93" s="613" t="s">
        <v>1698</v>
      </c>
      <c r="G93" s="1271"/>
      <c r="H93" s="1097" t="s">
        <v>1579</v>
      </c>
      <c r="I93" s="614" t="s">
        <v>1826</v>
      </c>
      <c r="J93" s="1088">
        <f ca="1">IF(K93=0, "", NISTmap!K100)</f>
        <v>0</v>
      </c>
      <c r="K93" s="600">
        <f>NISTmap!L100</f>
        <v>5</v>
      </c>
      <c r="L93" s="601">
        <f ca="1">IF(M93=0, "", NISTmap!N100)</f>
        <v>0</v>
      </c>
      <c r="M93" s="602">
        <f>NISTmap!O100</f>
        <v>1</v>
      </c>
      <c r="N93" s="601">
        <f ca="1">IF(O93=0, "", NISTmap!Q100)</f>
        <v>0</v>
      </c>
      <c r="O93" s="603">
        <f>NISTmap!R100</f>
        <v>2</v>
      </c>
      <c r="P93" s="601">
        <f ca="1">IF(Q93=0, "", NISTmap!T100)</f>
        <v>0</v>
      </c>
      <c r="Q93" s="603">
        <f>NISTmap!U100</f>
        <v>2</v>
      </c>
      <c r="R93" s="579"/>
      <c r="S93" s="26"/>
    </row>
    <row r="94" spans="1:19" ht="30" customHeight="1" x14ac:dyDescent="0.25">
      <c r="A94" s="3"/>
      <c r="B94" s="574"/>
      <c r="C94" s="595"/>
      <c r="D94" s="1280"/>
      <c r="E94" s="612"/>
      <c r="F94" s="613" t="s">
        <v>1698</v>
      </c>
      <c r="G94" s="1271"/>
      <c r="H94" s="1097" t="s">
        <v>1583</v>
      </c>
      <c r="I94" s="614" t="s">
        <v>1827</v>
      </c>
      <c r="J94" s="1089">
        <f ca="1">IF(K94=0, "", NISTmap!K101)</f>
        <v>0</v>
      </c>
      <c r="K94" s="618">
        <f>NISTmap!L101</f>
        <v>6</v>
      </c>
      <c r="L94" s="619" t="str">
        <f>IF(M94=0, "", NISTmap!N101)</f>
        <v/>
      </c>
      <c r="M94" s="620">
        <f>NISTmap!O101</f>
        <v>0</v>
      </c>
      <c r="N94" s="619">
        <f ca="1">IF(O94=0, "", NISTmap!Q101)</f>
        <v>0</v>
      </c>
      <c r="O94" s="621">
        <f>NISTmap!R101</f>
        <v>2</v>
      </c>
      <c r="P94" s="619">
        <f ca="1">IF(Q94=0, "", NISTmap!T101)</f>
        <v>0</v>
      </c>
      <c r="Q94" s="621">
        <f>NISTmap!U101</f>
        <v>4</v>
      </c>
      <c r="R94" s="579"/>
      <c r="S94" s="26"/>
    </row>
    <row r="95" spans="1:19" ht="30" customHeight="1" x14ac:dyDescent="0.25">
      <c r="A95" s="3"/>
      <c r="B95" s="574"/>
      <c r="C95" s="595"/>
      <c r="D95" s="1281" t="s">
        <v>1509</v>
      </c>
      <c r="E95" s="622" t="s">
        <v>1828</v>
      </c>
      <c r="F95" s="606" t="s">
        <v>1829</v>
      </c>
      <c r="G95" s="606" t="s">
        <v>1830</v>
      </c>
      <c r="H95" s="1096" t="s">
        <v>1570</v>
      </c>
      <c r="I95" s="607" t="s">
        <v>1831</v>
      </c>
      <c r="J95" s="1090">
        <f ca="1">IF(K95=0, "", NISTmap!K102)</f>
        <v>0</v>
      </c>
      <c r="K95" s="1091">
        <f>NISTmap!L102</f>
        <v>6</v>
      </c>
      <c r="L95" s="1092">
        <f ca="1">IF(M95=0, "", NISTmap!N102)</f>
        <v>0</v>
      </c>
      <c r="M95" s="1093">
        <f>NISTmap!O102</f>
        <v>2</v>
      </c>
      <c r="N95" s="1092">
        <f ca="1">IF(O95=0, "", NISTmap!Q102)</f>
        <v>0</v>
      </c>
      <c r="O95" s="1094">
        <f>NISTmap!R102</f>
        <v>2</v>
      </c>
      <c r="P95" s="1092">
        <f ca="1">IF(Q95=0, "", NISTmap!T102)</f>
        <v>0</v>
      </c>
      <c r="Q95" s="1094">
        <f>NISTmap!U102</f>
        <v>2</v>
      </c>
      <c r="R95" s="579"/>
      <c r="S95" s="26"/>
    </row>
    <row r="96" spans="1:19" ht="30" customHeight="1" x14ac:dyDescent="0.25">
      <c r="A96" s="3"/>
      <c r="B96" s="574"/>
      <c r="C96" s="595"/>
      <c r="D96" s="1281"/>
      <c r="E96" s="605" t="s">
        <v>1832</v>
      </c>
      <c r="F96" s="606" t="s">
        <v>1833</v>
      </c>
      <c r="G96" s="1270" t="s">
        <v>1834</v>
      </c>
      <c r="H96" s="1096" t="s">
        <v>1571</v>
      </c>
      <c r="I96" s="607" t="s">
        <v>1835</v>
      </c>
      <c r="J96" s="1087">
        <f ca="1">IF(K96=0, "", NISTmap!K103)</f>
        <v>0</v>
      </c>
      <c r="K96" s="608">
        <f>NISTmap!L103</f>
        <v>9</v>
      </c>
      <c r="L96" s="609">
        <f ca="1">IF(M96=0, "", NISTmap!N103)</f>
        <v>0</v>
      </c>
      <c r="M96" s="610">
        <f>NISTmap!O103</f>
        <v>3</v>
      </c>
      <c r="N96" s="609">
        <f ca="1">IF(O96=0, "", NISTmap!Q103)</f>
        <v>0</v>
      </c>
      <c r="O96" s="611">
        <f>NISTmap!R103</f>
        <v>3</v>
      </c>
      <c r="P96" s="609">
        <f ca="1">IF(Q96=0, "", NISTmap!T103)</f>
        <v>0</v>
      </c>
      <c r="Q96" s="611">
        <f>NISTmap!U103</f>
        <v>3</v>
      </c>
      <c r="R96" s="579"/>
      <c r="S96" s="26"/>
    </row>
    <row r="97" spans="1:19" ht="30" customHeight="1" x14ac:dyDescent="0.25">
      <c r="A97" s="3"/>
      <c r="B97" s="574"/>
      <c r="C97" s="595"/>
      <c r="D97" s="1281"/>
      <c r="E97" s="612"/>
      <c r="F97" s="613" t="s">
        <v>1698</v>
      </c>
      <c r="G97" s="1271"/>
      <c r="H97" s="1097" t="s">
        <v>1574</v>
      </c>
      <c r="I97" s="614" t="s">
        <v>1836</v>
      </c>
      <c r="J97" s="1088">
        <f ca="1">IF(K97=0, "", NISTmap!K104)</f>
        <v>0</v>
      </c>
      <c r="K97" s="600">
        <f>NISTmap!L104</f>
        <v>7</v>
      </c>
      <c r="L97" s="601">
        <f ca="1">IF(M97=0, "", NISTmap!N104)</f>
        <v>0</v>
      </c>
      <c r="M97" s="602">
        <f>NISTmap!O104</f>
        <v>2</v>
      </c>
      <c r="N97" s="601">
        <f ca="1">IF(O97=0, "", NISTmap!Q104)</f>
        <v>0</v>
      </c>
      <c r="O97" s="603">
        <f>NISTmap!R104</f>
        <v>4</v>
      </c>
      <c r="P97" s="601">
        <f ca="1">IF(Q97=0, "", NISTmap!T104)</f>
        <v>0</v>
      </c>
      <c r="Q97" s="603">
        <f>NISTmap!U104</f>
        <v>1</v>
      </c>
      <c r="R97" s="579"/>
      <c r="S97" s="26"/>
    </row>
    <row r="98" spans="1:19" ht="30" customHeight="1" x14ac:dyDescent="0.25">
      <c r="A98" s="3"/>
      <c r="B98" s="574"/>
      <c r="C98" s="595"/>
      <c r="D98" s="1281"/>
      <c r="E98" s="612"/>
      <c r="F98" s="613" t="s">
        <v>1698</v>
      </c>
      <c r="G98" s="1271"/>
      <c r="H98" s="1097" t="s">
        <v>1575</v>
      </c>
      <c r="I98" s="614" t="s">
        <v>1837</v>
      </c>
      <c r="J98" s="1088">
        <f ca="1">IF(K98=0, "", NISTmap!K105)</f>
        <v>0</v>
      </c>
      <c r="K98" s="600">
        <f>NISTmap!L105</f>
        <v>8</v>
      </c>
      <c r="L98" s="601">
        <f ca="1">IF(M98=0, "", NISTmap!N105)</f>
        <v>0</v>
      </c>
      <c r="M98" s="602">
        <f>NISTmap!O105</f>
        <v>1</v>
      </c>
      <c r="N98" s="601">
        <f ca="1">IF(O98=0, "", NISTmap!Q105)</f>
        <v>0</v>
      </c>
      <c r="O98" s="603">
        <f>NISTmap!R105</f>
        <v>5</v>
      </c>
      <c r="P98" s="601">
        <f ca="1">IF(Q98=0, "", NISTmap!T105)</f>
        <v>0</v>
      </c>
      <c r="Q98" s="603">
        <f>NISTmap!U105</f>
        <v>2</v>
      </c>
      <c r="R98" s="579"/>
      <c r="S98" s="26"/>
    </row>
    <row r="99" spans="1:19" ht="30" customHeight="1" x14ac:dyDescent="0.25">
      <c r="A99" s="3"/>
      <c r="B99" s="574"/>
      <c r="C99" s="595"/>
      <c r="D99" s="1281"/>
      <c r="E99" s="612"/>
      <c r="F99" s="613" t="s">
        <v>1698</v>
      </c>
      <c r="G99" s="1271"/>
      <c r="H99" s="1097" t="s">
        <v>1573</v>
      </c>
      <c r="I99" s="614" t="s">
        <v>1838</v>
      </c>
      <c r="J99" s="1088">
        <f ca="1">IF(K99=0, "", NISTmap!K106)</f>
        <v>0</v>
      </c>
      <c r="K99" s="600">
        <f>NISTmap!L106</f>
        <v>5</v>
      </c>
      <c r="L99" s="601">
        <f ca="1">IF(M99=0, "", NISTmap!N106)</f>
        <v>0</v>
      </c>
      <c r="M99" s="602">
        <f>NISTmap!O106</f>
        <v>1</v>
      </c>
      <c r="N99" s="601">
        <f ca="1">IF(O99=0, "", NISTmap!Q106)</f>
        <v>0</v>
      </c>
      <c r="O99" s="603">
        <f>NISTmap!R106</f>
        <v>2</v>
      </c>
      <c r="P99" s="601">
        <f ca="1">IF(Q99=0, "", NISTmap!T106)</f>
        <v>0</v>
      </c>
      <c r="Q99" s="603">
        <f>NISTmap!U106</f>
        <v>2</v>
      </c>
      <c r="R99" s="579"/>
      <c r="S99" s="26"/>
    </row>
    <row r="100" spans="1:19" ht="30" customHeight="1" x14ac:dyDescent="0.25">
      <c r="A100" s="3"/>
      <c r="B100" s="574"/>
      <c r="C100" s="595"/>
      <c r="D100" s="1281"/>
      <c r="E100" s="612"/>
      <c r="F100" s="613" t="s">
        <v>1698</v>
      </c>
      <c r="G100" s="1271"/>
      <c r="H100" s="1097" t="s">
        <v>1606</v>
      </c>
      <c r="I100" s="614" t="s">
        <v>1839</v>
      </c>
      <c r="J100" s="1089">
        <f ca="1">IF(K100=0, "", NISTmap!K107)</f>
        <v>0</v>
      </c>
      <c r="K100" s="618">
        <f>NISTmap!L107</f>
        <v>9</v>
      </c>
      <c r="L100" s="619">
        <f ca="1">IF(M100=0, "", NISTmap!N107)</f>
        <v>0</v>
      </c>
      <c r="M100" s="620">
        <f>NISTmap!O107</f>
        <v>1</v>
      </c>
      <c r="N100" s="619">
        <f ca="1">IF(O100=0, "", NISTmap!Q107)</f>
        <v>0</v>
      </c>
      <c r="O100" s="621">
        <f>NISTmap!R107</f>
        <v>4</v>
      </c>
      <c r="P100" s="619">
        <f ca="1">IF(Q100=0, "", NISTmap!T107)</f>
        <v>0</v>
      </c>
      <c r="Q100" s="621">
        <f>NISTmap!U107</f>
        <v>4</v>
      </c>
      <c r="R100" s="579"/>
      <c r="S100" s="26"/>
    </row>
    <row r="101" spans="1:19" ht="30" customHeight="1" x14ac:dyDescent="0.25">
      <c r="A101" s="3"/>
      <c r="B101" s="574"/>
      <c r="C101" s="595"/>
      <c r="D101" s="1281"/>
      <c r="E101" s="605" t="s">
        <v>1840</v>
      </c>
      <c r="F101" s="606" t="s">
        <v>1841</v>
      </c>
      <c r="G101" s="1270" t="s">
        <v>1842</v>
      </c>
      <c r="H101" s="1096" t="s">
        <v>1581</v>
      </c>
      <c r="I101" s="607" t="s">
        <v>1843</v>
      </c>
      <c r="J101" s="1087">
        <f ca="1">IF(K101=0, "", NISTmap!K108)</f>
        <v>0</v>
      </c>
      <c r="K101" s="608">
        <f>NISTmap!L108</f>
        <v>4</v>
      </c>
      <c r="L101" s="609">
        <f ca="1">IF(M101=0, "", NISTmap!N108)</f>
        <v>0</v>
      </c>
      <c r="M101" s="610">
        <f>NISTmap!O108</f>
        <v>2</v>
      </c>
      <c r="N101" s="609" t="str">
        <f>IF(O101=0, "", NISTmap!Q108)</f>
        <v/>
      </c>
      <c r="O101" s="611">
        <f>NISTmap!R108</f>
        <v>0</v>
      </c>
      <c r="P101" s="609">
        <f ca="1">IF(Q101=0, "", NISTmap!T108)</f>
        <v>0</v>
      </c>
      <c r="Q101" s="611">
        <f>NISTmap!U108</f>
        <v>2</v>
      </c>
      <c r="R101" s="579"/>
      <c r="S101" s="26"/>
    </row>
    <row r="102" spans="1:19" ht="30" customHeight="1" x14ac:dyDescent="0.25">
      <c r="A102" s="3"/>
      <c r="B102" s="574"/>
      <c r="C102" s="595"/>
      <c r="D102" s="1281"/>
      <c r="E102" s="612"/>
      <c r="F102" s="613" t="s">
        <v>1698</v>
      </c>
      <c r="G102" s="1271"/>
      <c r="H102" s="1097" t="s">
        <v>1587</v>
      </c>
      <c r="I102" s="614" t="s">
        <v>1844</v>
      </c>
      <c r="J102" s="1088">
        <f ca="1">IF(K102=0, "", NISTmap!K109)</f>
        <v>0</v>
      </c>
      <c r="K102" s="600">
        <f>NISTmap!L109</f>
        <v>4</v>
      </c>
      <c r="L102" s="601" t="str">
        <f>IF(M102=0, "", NISTmap!N109)</f>
        <v/>
      </c>
      <c r="M102" s="602">
        <f>NISTmap!O109</f>
        <v>0</v>
      </c>
      <c r="N102" s="601">
        <f ca="1">IF(O102=0, "", NISTmap!Q109)</f>
        <v>0</v>
      </c>
      <c r="O102" s="603">
        <f>NISTmap!R109</f>
        <v>2</v>
      </c>
      <c r="P102" s="601">
        <f ca="1">IF(Q102=0, "", NISTmap!T109)</f>
        <v>0</v>
      </c>
      <c r="Q102" s="603">
        <f>NISTmap!U109</f>
        <v>2</v>
      </c>
      <c r="R102" s="579"/>
      <c r="S102" s="26"/>
    </row>
    <row r="103" spans="1:19" ht="30" customHeight="1" x14ac:dyDescent="0.25">
      <c r="A103" s="3"/>
      <c r="B103" s="574"/>
      <c r="C103" s="595"/>
      <c r="D103" s="1281"/>
      <c r="E103" s="612"/>
      <c r="F103" s="613" t="s">
        <v>1698</v>
      </c>
      <c r="G103" s="1271"/>
      <c r="H103" s="1097" t="s">
        <v>1599</v>
      </c>
      <c r="I103" s="614" t="s">
        <v>1845</v>
      </c>
      <c r="J103" s="1088">
        <f ca="1">IF(K103=0, "", NISTmap!K110)</f>
        <v>0</v>
      </c>
      <c r="K103" s="600">
        <f>NISTmap!L110</f>
        <v>3</v>
      </c>
      <c r="L103" s="601" t="str">
        <f>IF(M103=0, "", NISTmap!N110)</f>
        <v/>
      </c>
      <c r="M103" s="602">
        <f>NISTmap!O110</f>
        <v>0</v>
      </c>
      <c r="N103" s="601">
        <f ca="1">IF(O103=0, "", NISTmap!Q110)</f>
        <v>0</v>
      </c>
      <c r="O103" s="603">
        <f>NISTmap!R110</f>
        <v>1</v>
      </c>
      <c r="P103" s="601">
        <f ca="1">IF(Q103=0, "", NISTmap!T110)</f>
        <v>0</v>
      </c>
      <c r="Q103" s="603">
        <f>NISTmap!U110</f>
        <v>2</v>
      </c>
      <c r="R103" s="579"/>
      <c r="S103" s="26"/>
    </row>
    <row r="104" spans="1:19" ht="30" customHeight="1" x14ac:dyDescent="0.25">
      <c r="A104" s="3"/>
      <c r="B104" s="574"/>
      <c r="C104" s="595"/>
      <c r="D104" s="1281"/>
      <c r="E104" s="612"/>
      <c r="F104" s="613" t="s">
        <v>1698</v>
      </c>
      <c r="G104" s="1271"/>
      <c r="H104" s="1097" t="s">
        <v>1585</v>
      </c>
      <c r="I104" s="614" t="s">
        <v>1846</v>
      </c>
      <c r="J104" s="1088">
        <f ca="1">IF(K104=0, "", NISTmap!K111)</f>
        <v>0</v>
      </c>
      <c r="K104" s="600">
        <f>NISTmap!L111</f>
        <v>4</v>
      </c>
      <c r="L104" s="601">
        <f ca="1">IF(M104=0, "", NISTmap!N111)</f>
        <v>0</v>
      </c>
      <c r="M104" s="602">
        <f>NISTmap!O111</f>
        <v>1</v>
      </c>
      <c r="N104" s="601">
        <f ca="1">IF(O104=0, "", NISTmap!Q111)</f>
        <v>0</v>
      </c>
      <c r="O104" s="603">
        <f>NISTmap!R111</f>
        <v>2</v>
      </c>
      <c r="P104" s="601">
        <f ca="1">IF(Q104=0, "", NISTmap!T111)</f>
        <v>0</v>
      </c>
      <c r="Q104" s="603">
        <f>NISTmap!U111</f>
        <v>1</v>
      </c>
      <c r="R104" s="579"/>
      <c r="S104" s="26"/>
    </row>
    <row r="105" spans="1:19" ht="60" customHeight="1" x14ac:dyDescent="0.25">
      <c r="A105" s="3"/>
      <c r="B105" s="574"/>
      <c r="C105" s="595"/>
      <c r="D105" s="1281"/>
      <c r="E105" s="615"/>
      <c r="F105" s="616" t="s">
        <v>1698</v>
      </c>
      <c r="G105" s="1272"/>
      <c r="H105" s="1098" t="s">
        <v>1611</v>
      </c>
      <c r="I105" s="617" t="s">
        <v>1847</v>
      </c>
      <c r="J105" s="1089">
        <f ca="1">IF(K105=0, "", NISTmap!K112)</f>
        <v>0</v>
      </c>
      <c r="K105" s="618">
        <f>NISTmap!L112</f>
        <v>12</v>
      </c>
      <c r="L105" s="619">
        <f ca="1">IF(M105=0, "", NISTmap!N112)</f>
        <v>0</v>
      </c>
      <c r="M105" s="620">
        <f>NISTmap!O112</f>
        <v>4</v>
      </c>
      <c r="N105" s="619">
        <f ca="1">IF(O105=0, "", NISTmap!Q112)</f>
        <v>0</v>
      </c>
      <c r="O105" s="621">
        <f>NISTmap!R112</f>
        <v>3</v>
      </c>
      <c r="P105" s="619">
        <f ca="1">IF(Q105=0, "", NISTmap!T112)</f>
        <v>0</v>
      </c>
      <c r="Q105" s="621">
        <f>NISTmap!U112</f>
        <v>5</v>
      </c>
      <c r="R105" s="579"/>
      <c r="S105" s="26"/>
    </row>
    <row r="106" spans="1:19" ht="30" customHeight="1" x14ac:dyDescent="0.25">
      <c r="A106" s="3"/>
      <c r="B106" s="574"/>
      <c r="C106" s="595"/>
      <c r="D106" s="1281"/>
      <c r="E106" s="605" t="s">
        <v>1848</v>
      </c>
      <c r="F106" s="606" t="s">
        <v>1849</v>
      </c>
      <c r="G106" s="1270" t="s">
        <v>1850</v>
      </c>
      <c r="H106" s="1096" t="s">
        <v>1591</v>
      </c>
      <c r="I106" s="607" t="s">
        <v>1851</v>
      </c>
      <c r="J106" s="1087">
        <f ca="1">IF(K106=0, "", NISTmap!K113)</f>
        <v>0</v>
      </c>
      <c r="K106" s="608">
        <f>NISTmap!L113</f>
        <v>3</v>
      </c>
      <c r="L106" s="609">
        <f ca="1">IF(M106=0, "", NISTmap!N113)</f>
        <v>0</v>
      </c>
      <c r="M106" s="610">
        <f>NISTmap!O113</f>
        <v>1</v>
      </c>
      <c r="N106" s="609">
        <f ca="1">IF(O106=0, "", NISTmap!Q113)</f>
        <v>0</v>
      </c>
      <c r="O106" s="611">
        <f>NISTmap!R113</f>
        <v>1</v>
      </c>
      <c r="P106" s="609">
        <f ca="1">IF(Q106=0, "", NISTmap!T113)</f>
        <v>0</v>
      </c>
      <c r="Q106" s="611">
        <f>NISTmap!U113</f>
        <v>1</v>
      </c>
      <c r="R106" s="579"/>
      <c r="S106" s="26"/>
    </row>
    <row r="107" spans="1:19" ht="30" customHeight="1" x14ac:dyDescent="0.25">
      <c r="A107" s="3"/>
      <c r="B107" s="574"/>
      <c r="C107" s="595"/>
      <c r="D107" s="1281"/>
      <c r="E107" s="612"/>
      <c r="F107" s="613" t="s">
        <v>1698</v>
      </c>
      <c r="G107" s="1271"/>
      <c r="H107" s="1097" t="s">
        <v>1592</v>
      </c>
      <c r="I107" s="614" t="s">
        <v>1852</v>
      </c>
      <c r="J107" s="1088">
        <f ca="1">IF(K107=0, "", NISTmap!K114)</f>
        <v>0</v>
      </c>
      <c r="K107" s="600">
        <f>NISTmap!L114</f>
        <v>2</v>
      </c>
      <c r="L107" s="601">
        <f ca="1">IF(M107=0, "", NISTmap!N114)</f>
        <v>0</v>
      </c>
      <c r="M107" s="602">
        <f>NISTmap!O114</f>
        <v>1</v>
      </c>
      <c r="N107" s="601">
        <f ca="1">IF(O107=0, "", NISTmap!Q114)</f>
        <v>0</v>
      </c>
      <c r="O107" s="603">
        <f>NISTmap!R114</f>
        <v>1</v>
      </c>
      <c r="P107" s="601" t="str">
        <f>IF(Q107=0, "", NISTmap!T114)</f>
        <v/>
      </c>
      <c r="Q107" s="603">
        <f>NISTmap!U114</f>
        <v>0</v>
      </c>
      <c r="R107" s="579"/>
      <c r="S107" s="26"/>
    </row>
    <row r="108" spans="1:19" ht="30" customHeight="1" x14ac:dyDescent="0.25">
      <c r="A108" s="3"/>
      <c r="B108" s="574"/>
      <c r="C108" s="595"/>
      <c r="D108" s="1281"/>
      <c r="E108" s="615"/>
      <c r="F108" s="616" t="s">
        <v>1698</v>
      </c>
      <c r="G108" s="1272"/>
      <c r="H108" s="1098" t="s">
        <v>1601</v>
      </c>
      <c r="I108" s="617" t="s">
        <v>1853</v>
      </c>
      <c r="J108" s="1089">
        <f ca="1">IF(K108=0, "", NISTmap!K115)</f>
        <v>0</v>
      </c>
      <c r="K108" s="618">
        <f>NISTmap!L115</f>
        <v>3</v>
      </c>
      <c r="L108" s="619">
        <f ca="1">IF(M108=0, "", NISTmap!N115)</f>
        <v>0</v>
      </c>
      <c r="M108" s="620">
        <f>NISTmap!O115</f>
        <v>1</v>
      </c>
      <c r="N108" s="619">
        <f ca="1">IF(O108=0, "", NISTmap!Q115)</f>
        <v>0</v>
      </c>
      <c r="O108" s="621">
        <f>NISTmap!R115</f>
        <v>1</v>
      </c>
      <c r="P108" s="619">
        <f ca="1">IF(Q108=0, "", NISTmap!T115)</f>
        <v>0</v>
      </c>
      <c r="Q108" s="621">
        <f>NISTmap!U115</f>
        <v>1</v>
      </c>
      <c r="R108" s="579"/>
      <c r="S108" s="26"/>
    </row>
    <row r="109" spans="1:19" ht="30" customHeight="1" x14ac:dyDescent="0.25">
      <c r="A109" s="3"/>
      <c r="B109" s="574"/>
      <c r="C109" s="595"/>
      <c r="D109" s="1281"/>
      <c r="E109" s="623" t="s">
        <v>1854</v>
      </c>
      <c r="F109" s="613" t="s">
        <v>1855</v>
      </c>
      <c r="G109" s="1271" t="s">
        <v>1856</v>
      </c>
      <c r="H109" s="1097" t="s">
        <v>1597</v>
      </c>
      <c r="I109" s="614" t="s">
        <v>1857</v>
      </c>
      <c r="J109" s="1087">
        <f ca="1">IF(K109=0, "", NISTmap!K116)</f>
        <v>0</v>
      </c>
      <c r="K109" s="608">
        <f>NISTmap!L116</f>
        <v>6</v>
      </c>
      <c r="L109" s="609" t="str">
        <f>IF(M109=0, "", NISTmap!N116)</f>
        <v/>
      </c>
      <c r="M109" s="610">
        <f>NISTmap!O116</f>
        <v>0</v>
      </c>
      <c r="N109" s="609">
        <f ca="1">IF(O109=0, "", NISTmap!Q116)</f>
        <v>0</v>
      </c>
      <c r="O109" s="611">
        <f>NISTmap!R116</f>
        <v>3</v>
      </c>
      <c r="P109" s="609">
        <f ca="1">IF(Q109=0, "", NISTmap!T116)</f>
        <v>0</v>
      </c>
      <c r="Q109" s="611">
        <f>NISTmap!U116</f>
        <v>3</v>
      </c>
      <c r="R109" s="579"/>
      <c r="S109" s="26"/>
    </row>
    <row r="110" spans="1:19" ht="30" customHeight="1" x14ac:dyDescent="0.25">
      <c r="A110" s="3"/>
      <c r="B110" s="574"/>
      <c r="C110" s="595"/>
      <c r="D110" s="1281"/>
      <c r="E110" s="624"/>
      <c r="F110" s="616" t="s">
        <v>1698</v>
      </c>
      <c r="G110" s="1272"/>
      <c r="H110" s="1098" t="s">
        <v>1598</v>
      </c>
      <c r="I110" s="617" t="s">
        <v>1858</v>
      </c>
      <c r="J110" s="1089">
        <f ca="1">IF(K110=0, "", NISTmap!K117)</f>
        <v>0</v>
      </c>
      <c r="K110" s="618">
        <f>NISTmap!L117</f>
        <v>7</v>
      </c>
      <c r="L110" s="619" t="str">
        <f>IF(M110=0, "", NISTmap!N117)</f>
        <v/>
      </c>
      <c r="M110" s="620">
        <f>NISTmap!O117</f>
        <v>0</v>
      </c>
      <c r="N110" s="619">
        <f ca="1">IF(O110=0, "", NISTmap!Q117)</f>
        <v>0</v>
      </c>
      <c r="O110" s="621">
        <f>NISTmap!R117</f>
        <v>3</v>
      </c>
      <c r="P110" s="619">
        <f ca="1">IF(Q110=0, "", NISTmap!T117)</f>
        <v>0</v>
      </c>
      <c r="Q110" s="621">
        <f>NISTmap!U117</f>
        <v>4</v>
      </c>
      <c r="R110" s="579"/>
      <c r="S110" s="26"/>
    </row>
    <row r="111" spans="1:19" ht="30" customHeight="1" x14ac:dyDescent="0.25">
      <c r="A111" s="3"/>
      <c r="B111" s="574"/>
      <c r="C111" s="595"/>
      <c r="D111" s="1276" t="s">
        <v>1510</v>
      </c>
      <c r="E111" s="623" t="s">
        <v>1859</v>
      </c>
      <c r="F111" s="613" t="s">
        <v>1860</v>
      </c>
      <c r="G111" s="613" t="s">
        <v>1861</v>
      </c>
      <c r="H111" s="1097" t="s">
        <v>1590</v>
      </c>
      <c r="I111" s="614" t="s">
        <v>1862</v>
      </c>
      <c r="J111" s="1090">
        <f ca="1">IF(K111=0, "", NISTmap!K118)</f>
        <v>0</v>
      </c>
      <c r="K111" s="1091">
        <f>NISTmap!L118</f>
        <v>5</v>
      </c>
      <c r="L111" s="1092">
        <f ca="1">IF(M111=0, "", NISTmap!N118)</f>
        <v>0</v>
      </c>
      <c r="M111" s="1093">
        <f>NISTmap!O118</f>
        <v>2</v>
      </c>
      <c r="N111" s="1092">
        <f ca="1">IF(O111=0, "", NISTmap!Q118)</f>
        <v>0</v>
      </c>
      <c r="O111" s="1094">
        <f>NISTmap!R118</f>
        <v>2</v>
      </c>
      <c r="P111" s="1092">
        <f ca="1">IF(Q111=0, "", NISTmap!T118)</f>
        <v>0</v>
      </c>
      <c r="Q111" s="1094">
        <f>NISTmap!U118</f>
        <v>1</v>
      </c>
      <c r="R111" s="579"/>
      <c r="S111" s="26"/>
    </row>
    <row r="112" spans="1:19" ht="30" customHeight="1" x14ac:dyDescent="0.25">
      <c r="A112" s="3"/>
      <c r="B112" s="574"/>
      <c r="C112" s="595"/>
      <c r="D112" s="1277"/>
      <c r="E112" s="605" t="s">
        <v>1863</v>
      </c>
      <c r="F112" s="606" t="s">
        <v>1855</v>
      </c>
      <c r="G112" s="1270" t="s">
        <v>1864</v>
      </c>
      <c r="H112" s="1096" t="s">
        <v>1595</v>
      </c>
      <c r="I112" s="607" t="s">
        <v>1865</v>
      </c>
      <c r="J112" s="1087">
        <f ca="1">IF(K112=0, "", NISTmap!K119)</f>
        <v>0</v>
      </c>
      <c r="K112" s="608">
        <f>NISTmap!L119</f>
        <v>7</v>
      </c>
      <c r="L112" s="609" t="str">
        <f>IF(M112=0, "", NISTmap!N119)</f>
        <v/>
      </c>
      <c r="M112" s="610">
        <f>NISTmap!O119</f>
        <v>0</v>
      </c>
      <c r="N112" s="609">
        <f ca="1">IF(O112=0, "", NISTmap!Q119)</f>
        <v>0</v>
      </c>
      <c r="O112" s="611">
        <f>NISTmap!R119</f>
        <v>4</v>
      </c>
      <c r="P112" s="609">
        <f ca="1">IF(Q112=0, "", NISTmap!T119)</f>
        <v>0</v>
      </c>
      <c r="Q112" s="611">
        <f>NISTmap!U119</f>
        <v>3</v>
      </c>
      <c r="R112" s="579"/>
      <c r="S112" s="26"/>
    </row>
    <row r="113" spans="1:19" ht="30" customHeight="1" x14ac:dyDescent="0.25">
      <c r="A113" s="3"/>
      <c r="B113" s="574"/>
      <c r="C113" s="595"/>
      <c r="D113" s="1277"/>
      <c r="E113" s="615"/>
      <c r="F113" s="616" t="s">
        <v>1698</v>
      </c>
      <c r="G113" s="1272"/>
      <c r="H113" s="1098" t="s">
        <v>1596</v>
      </c>
      <c r="I113" s="617" t="s">
        <v>1866</v>
      </c>
      <c r="J113" s="1089">
        <f ca="1">IF(K113=0, "", NISTmap!K120)</f>
        <v>0</v>
      </c>
      <c r="K113" s="618">
        <f>NISTmap!L120</f>
        <v>6</v>
      </c>
      <c r="L113" s="619" t="str">
        <f>IF(M113=0, "", NISTmap!N120)</f>
        <v/>
      </c>
      <c r="M113" s="620">
        <f>NISTmap!O120</f>
        <v>0</v>
      </c>
      <c r="N113" s="619">
        <f ca="1">IF(O113=0, "", NISTmap!Q120)</f>
        <v>0</v>
      </c>
      <c r="O113" s="621">
        <f>NISTmap!R120</f>
        <v>2</v>
      </c>
      <c r="P113" s="619">
        <f ca="1">IF(Q113=0, "", NISTmap!T120)</f>
        <v>0</v>
      </c>
      <c r="Q113" s="621">
        <f>NISTmap!U120</f>
        <v>4</v>
      </c>
      <c r="R113" s="579"/>
      <c r="S113" s="26"/>
    </row>
    <row r="114" spans="1:19" ht="30" customHeight="1" x14ac:dyDescent="0.25">
      <c r="A114" s="3"/>
      <c r="B114" s="574"/>
      <c r="C114" s="595"/>
      <c r="D114" s="1277"/>
      <c r="E114" s="623" t="s">
        <v>1867</v>
      </c>
      <c r="F114" s="613" t="s">
        <v>1833</v>
      </c>
      <c r="G114" s="1271" t="s">
        <v>1868</v>
      </c>
      <c r="H114" s="1097" t="s">
        <v>1869</v>
      </c>
      <c r="I114" s="614" t="s">
        <v>1870</v>
      </c>
      <c r="J114" s="1087">
        <f ca="1">IF(K114=0, "", NISTmap!K121)</f>
        <v>0</v>
      </c>
      <c r="K114" s="608">
        <f>NISTmap!L121</f>
        <v>1</v>
      </c>
      <c r="L114" s="609" t="str">
        <f>IF(M114=0, "", NISTmap!N121)</f>
        <v/>
      </c>
      <c r="M114" s="610">
        <f>NISTmap!O121</f>
        <v>0</v>
      </c>
      <c r="N114" s="609">
        <f ca="1">IF(O114=0, "", NISTmap!Q121)</f>
        <v>0</v>
      </c>
      <c r="O114" s="611">
        <f>NISTmap!R121</f>
        <v>1</v>
      </c>
      <c r="P114" s="609" t="str">
        <f>IF(Q114=0, "", NISTmap!T121)</f>
        <v/>
      </c>
      <c r="Q114" s="611">
        <f>NISTmap!U121</f>
        <v>0</v>
      </c>
      <c r="R114" s="579"/>
      <c r="S114" s="26"/>
    </row>
    <row r="115" spans="1:19" ht="30" customHeight="1" x14ac:dyDescent="0.25">
      <c r="A115" s="3"/>
      <c r="B115" s="574"/>
      <c r="C115" s="595"/>
      <c r="D115" s="1277"/>
      <c r="E115" s="623"/>
      <c r="F115" s="613" t="s">
        <v>1698</v>
      </c>
      <c r="G115" s="1271"/>
      <c r="H115" s="1097" t="s">
        <v>1593</v>
      </c>
      <c r="I115" s="614" t="s">
        <v>1871</v>
      </c>
      <c r="J115" s="1088">
        <f ca="1">IF(K115=0, "", NISTmap!K122)</f>
        <v>0</v>
      </c>
      <c r="K115" s="600">
        <f>NISTmap!L122</f>
        <v>1</v>
      </c>
      <c r="L115" s="601" t="str">
        <f>IF(M115=0, "", NISTmap!N122)</f>
        <v/>
      </c>
      <c r="M115" s="602">
        <f>NISTmap!O122</f>
        <v>0</v>
      </c>
      <c r="N115" s="601">
        <f ca="1">IF(O115=0, "", NISTmap!Q122)</f>
        <v>0</v>
      </c>
      <c r="O115" s="603">
        <f>NISTmap!R122</f>
        <v>1</v>
      </c>
      <c r="P115" s="601" t="str">
        <f>IF(Q115=0, "", NISTmap!T122)</f>
        <v/>
      </c>
      <c r="Q115" s="603">
        <f>NISTmap!U122</f>
        <v>0</v>
      </c>
      <c r="R115" s="579"/>
      <c r="S115" s="26"/>
    </row>
    <row r="116" spans="1:19" ht="30" customHeight="1" x14ac:dyDescent="0.25">
      <c r="A116" s="3"/>
      <c r="B116" s="574"/>
      <c r="C116" s="625"/>
      <c r="D116" s="1277"/>
      <c r="E116" s="624"/>
      <c r="F116" s="616" t="s">
        <v>1698</v>
      </c>
      <c r="G116" s="1272"/>
      <c r="H116" s="1098" t="s">
        <v>1589</v>
      </c>
      <c r="I116" s="617" t="s">
        <v>1872</v>
      </c>
      <c r="J116" s="1089">
        <f ca="1">IF(K116=0, "", NISTmap!K123)</f>
        <v>0</v>
      </c>
      <c r="K116" s="618">
        <f>NISTmap!L123</f>
        <v>4</v>
      </c>
      <c r="L116" s="619" t="str">
        <f>IF(M116=0, "", NISTmap!N123)</f>
        <v/>
      </c>
      <c r="M116" s="620">
        <f>NISTmap!O123</f>
        <v>0</v>
      </c>
      <c r="N116" s="619">
        <f ca="1">IF(O116=0, "", NISTmap!Q123)</f>
        <v>0</v>
      </c>
      <c r="O116" s="621">
        <f>NISTmap!R123</f>
        <v>2</v>
      </c>
      <c r="P116" s="619">
        <f ca="1">IF(Q116=0, "", NISTmap!T123)</f>
        <v>0</v>
      </c>
      <c r="Q116" s="621">
        <f>NISTmap!U123</f>
        <v>2</v>
      </c>
      <c r="R116" s="579"/>
      <c r="S116" s="26"/>
    </row>
    <row r="117" spans="1:19" ht="13.8" x14ac:dyDescent="0.25">
      <c r="A117" s="12"/>
      <c r="B117" s="626"/>
      <c r="C117" s="627"/>
      <c r="D117" s="627"/>
      <c r="E117" s="627"/>
      <c r="F117" s="627"/>
      <c r="G117" s="627"/>
      <c r="H117" s="627"/>
      <c r="I117" s="627"/>
      <c r="J117" s="627"/>
      <c r="K117" s="627"/>
      <c r="L117" s="627"/>
      <c r="M117" s="627"/>
      <c r="N117" s="627"/>
      <c r="O117" s="1095"/>
      <c r="P117" s="627"/>
      <c r="Q117" s="627"/>
      <c r="R117" s="628"/>
      <c r="S117" s="12"/>
    </row>
    <row r="118" spans="1:19" ht="13.8" x14ac:dyDescent="0.25">
      <c r="A118" s="12"/>
      <c r="B118" s="12"/>
      <c r="C118" s="12"/>
      <c r="D118" s="12"/>
      <c r="E118" s="12"/>
      <c r="F118" s="12"/>
      <c r="G118" s="12"/>
      <c r="H118" s="12"/>
      <c r="I118" s="12"/>
      <c r="J118" s="12"/>
      <c r="K118" s="12"/>
      <c r="L118" s="12"/>
      <c r="M118" s="12"/>
      <c r="N118" s="12"/>
      <c r="O118" s="1086"/>
      <c r="P118" s="12"/>
      <c r="Q118" s="12"/>
      <c r="R118" s="12"/>
      <c r="S118" s="12"/>
    </row>
  </sheetData>
  <sheetProtection sheet="1" formatCells="0" formatColumns="0" formatRows="0"/>
  <mergeCells count="33">
    <mergeCell ref="D111:D116"/>
    <mergeCell ref="G112:G113"/>
    <mergeCell ref="G114:G116"/>
    <mergeCell ref="D77:D94"/>
    <mergeCell ref="G77:G81"/>
    <mergeCell ref="G82:G89"/>
    <mergeCell ref="G90:G94"/>
    <mergeCell ref="D95:D110"/>
    <mergeCell ref="G96:G100"/>
    <mergeCell ref="G101:G105"/>
    <mergeCell ref="G106:G108"/>
    <mergeCell ref="G109:G110"/>
    <mergeCell ref="G30:G32"/>
    <mergeCell ref="G33:G37"/>
    <mergeCell ref="D38:D76"/>
    <mergeCell ref="G38:G44"/>
    <mergeCell ref="G45:G49"/>
    <mergeCell ref="G50:G57"/>
    <mergeCell ref="G58:G67"/>
    <mergeCell ref="G68:G69"/>
    <mergeCell ref="G70:G71"/>
    <mergeCell ref="G72:G76"/>
    <mergeCell ref="D9:D37"/>
    <mergeCell ref="G9:G14"/>
    <mergeCell ref="G15:G19"/>
    <mergeCell ref="G20:G23"/>
    <mergeCell ref="G24:G29"/>
    <mergeCell ref="V5:V15"/>
    <mergeCell ref="D7:I7"/>
    <mergeCell ref="J7:Q7"/>
    <mergeCell ref="L8:M8"/>
    <mergeCell ref="N8:O8"/>
    <mergeCell ref="P8:Q8"/>
  </mergeCells>
  <conditionalFormatting sqref="J9:J116">
    <cfRule type="colorScale" priority="2">
      <colorScale>
        <cfvo type="num" val="0"/>
        <cfvo type="num" val="0.5"/>
        <cfvo type="num" val="1"/>
        <color rgb="FFFF7128"/>
        <color rgb="FFFFEB84"/>
        <color rgb="FF92D050"/>
      </colorScale>
    </cfRule>
  </conditionalFormatting>
  <conditionalFormatting sqref="N9:N116 P9:P116 L9:L116">
    <cfRule type="colorScale" priority="1">
      <colorScale>
        <cfvo type="num" val="0"/>
        <cfvo type="num" val="3.472222222222222E-3"/>
        <cfvo type="num" val="1"/>
        <color rgb="FFFF7128"/>
        <color rgb="FFFFEB84"/>
        <color rgb="FF92D050"/>
      </colorScale>
    </cfRule>
  </conditionalFormatting>
  <pageMargins left="0.7" right="0.7" top="0.75" bottom="0.75" header="0.3" footer="0.3"/>
  <pageSetup paperSize="9" scale="34" orientation="portrait" r:id="rId1"/>
  <rowBreaks count="2" manualBreakCount="2">
    <brk id="37" max="16383" man="1"/>
    <brk id="76" max="16383" man="1"/>
  </rowBreaks>
  <colBreaks count="1" manualBreakCount="1">
    <brk id="19" max="1048575" man="1"/>
  </colBreaks>
  <ignoredErrors>
    <ignoredError sqref="K9"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0058B1"/>
  </sheetPr>
  <dimension ref="A1:O41"/>
  <sheetViews>
    <sheetView showGridLines="0" zoomScale="80" zoomScaleNormal="80" zoomScalePageLayoutView="70" workbookViewId="0"/>
  </sheetViews>
  <sheetFormatPr defaultColWidth="9.26953125" defaultRowHeight="18" customHeight="1" x14ac:dyDescent="0.25"/>
  <cols>
    <col min="1" max="2" width="1.6328125" style="5" customWidth="1"/>
    <col min="3" max="3" width="2.6328125" style="5" customWidth="1"/>
    <col min="4" max="4" width="50.6328125" style="13" customWidth="1"/>
    <col min="5" max="5" width="15.6328125" style="47" customWidth="1"/>
    <col min="6" max="6" width="5.6328125" style="5" customWidth="1"/>
    <col min="7" max="7" width="50.6328125" style="5" customWidth="1"/>
    <col min="8" max="8" width="15.6328125" style="5" customWidth="1"/>
    <col min="9" max="9" width="2.6328125" style="5" customWidth="1"/>
    <col min="10" max="10" width="1.6328125" style="5" customWidth="1"/>
    <col min="11" max="11" width="1.6328125" style="13" customWidth="1"/>
    <col min="12" max="12" width="2.6328125" style="46" customWidth="1"/>
    <col min="13" max="13" width="1.6328125" style="77" customWidth="1"/>
    <col min="14" max="14" width="80.6328125" style="77" customWidth="1"/>
    <col min="15" max="15" width="1.6328125" style="77" customWidth="1"/>
    <col min="16" max="16384" width="9.269531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829" t="s">
        <v>1956</v>
      </c>
      <c r="O2" s="6"/>
    </row>
    <row r="3" spans="1:15" ht="18" customHeight="1" x14ac:dyDescent="0.2">
      <c r="A3" s="3"/>
      <c r="B3" s="10"/>
      <c r="D3" s="72" t="s">
        <v>420</v>
      </c>
      <c r="E3" s="72"/>
      <c r="F3" s="72"/>
      <c r="G3" s="72"/>
      <c r="H3" s="72"/>
      <c r="I3" s="52"/>
      <c r="J3" s="11"/>
      <c r="K3" s="3"/>
      <c r="L3" s="43"/>
      <c r="M3" s="3"/>
      <c r="N3" s="773"/>
      <c r="O3" s="6"/>
    </row>
    <row r="4" spans="1:15" ht="34.950000000000003" customHeight="1" x14ac:dyDescent="0.2">
      <c r="A4" s="3"/>
      <c r="B4" s="10"/>
      <c r="D4" s="71" t="str">
        <f>IF(VLOOKUP("KM75",Languages!$A:$D,1,TRUE)="KM75",VLOOKUP("KM75",Languages!$A:$D,Summary!$C$7,TRUE),NA())</f>
        <v>Kyberturvallisuuden kehitysalueet</v>
      </c>
      <c r="E4" s="73"/>
      <c r="F4" s="73"/>
      <c r="G4" s="73"/>
      <c r="H4" s="73"/>
      <c r="I4" s="51"/>
      <c r="J4" s="11"/>
      <c r="K4" s="3"/>
      <c r="L4" s="43"/>
      <c r="M4" s="3"/>
      <c r="N4" s="1144" t="s">
        <v>2586</v>
      </c>
      <c r="O4" s="6"/>
    </row>
    <row r="5" spans="1:15" s="34" customFormat="1" ht="19.95" customHeight="1" x14ac:dyDescent="0.2">
      <c r="A5" s="427"/>
      <c r="B5" s="10"/>
      <c r="D5" s="93" t="str">
        <f>IF(VLOOKUP("KM63",Languages!$A:$D,1,TRUE)="KM63",VLOOKUP("KM63",Languages!$A:$D,Summary!$C$7,TRUE),NA())</f>
        <v xml:space="preserve"> Kyberturvallisuuden osioiden mukaisesti</v>
      </c>
      <c r="E5" s="73"/>
      <c r="F5" s="73"/>
      <c r="G5" s="73"/>
      <c r="H5" s="73"/>
      <c r="I5" s="51"/>
      <c r="J5" s="11"/>
      <c r="K5" s="427"/>
      <c r="L5" s="43"/>
      <c r="M5" s="3"/>
      <c r="N5" s="1144"/>
      <c r="O5" s="6"/>
    </row>
    <row r="6" spans="1:15" s="34" customFormat="1" ht="29.55" customHeight="1" x14ac:dyDescent="0.2">
      <c r="A6" s="427"/>
      <c r="B6" s="27"/>
      <c r="C6" s="36"/>
      <c r="D6" s="1283" t="str">
        <f>IF(VLOOKUP("KM74",Languages!$A:$D,1,TRUE)="KM74",VLOOKUP("KM74",Languages!$A:$D,Summary!$C$7,TRUE),NA())</f>
        <v>Kypsyystasolle 1 vaadittavia toimenpiteitä</v>
      </c>
      <c r="E6" s="1283"/>
      <c r="F6" s="1283"/>
      <c r="G6" s="1283"/>
      <c r="H6" s="1283"/>
      <c r="I6" s="28"/>
      <c r="J6" s="29"/>
      <c r="K6" s="427"/>
      <c r="L6" s="43"/>
      <c r="M6" s="3"/>
      <c r="N6" s="1144"/>
      <c r="O6" s="6"/>
    </row>
    <row r="7" spans="1:15" s="17" customFormat="1" ht="10.050000000000001" customHeight="1" x14ac:dyDescent="0.2">
      <c r="A7" s="26"/>
      <c r="B7" s="27"/>
      <c r="C7" s="36"/>
      <c r="E7" s="33"/>
      <c r="F7" s="33"/>
      <c r="G7" s="33"/>
      <c r="H7" s="33"/>
      <c r="I7" s="33"/>
      <c r="J7" s="31"/>
      <c r="K7" s="26"/>
      <c r="L7" s="43"/>
      <c r="M7" s="3"/>
      <c r="N7" s="1144"/>
      <c r="O7" s="6"/>
    </row>
    <row r="8" spans="1:15" s="17" customFormat="1" ht="49.95" customHeight="1" x14ac:dyDescent="0.25">
      <c r="A8" s="26"/>
      <c r="B8" s="59">
        <v>1</v>
      </c>
      <c r="C8" s="60" t="str">
        <f ca="1">_xlfn.IFNA(VLOOKUP("0-1-0-"&amp;B8,Data!$W:$X,2,FALSE),"")</f>
        <v>ACCESS-1a</v>
      </c>
      <c r="D8" s="1282" t="str">
        <f ca="1">IFERROR("("&amp;VLOOKUP("0-1-0-"&amp;B8,Data!$W:$X,2,FALSE)&amp;") "&amp;IF(VLOOKUP(C8,Languages!$A:$D,1,TRUE)=C8,VLOOKUP(C8,Languages!$A:$D,Summary!$C$7,TRUE),NA()),"")</f>
        <v>(ACCESS-1a) 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 s="1282"/>
      <c r="F8" s="428" t="str">
        <f ca="1">_xlfn.IFNA(VLOOKUP("0-1-0-"&amp;I8,Data!$W:$X,2,FALSE),"")</f>
        <v>ACCESS-1b</v>
      </c>
      <c r="G8" s="1282" t="str">
        <f ca="1">IFERROR("("&amp;VLOOKUP("0-1-0-"&amp;I8,Data!$W:$X,2,FALSE)&amp;") "&amp;IF(VLOOKUP(F8,Languages!$A:$D,1,TRUE)=F8,VLOOKUP(F8,Languages!$A:$D,Summary!$C$7,TRUE),NA()),"")</f>
        <v>(ACCESS-1b) Työntekijöille ja muille entiteeteille jaetaan pääsyvaltuustiedot (kuten salasanat, älykortit tai avaimet). Tasolla 1 tämän ei tarvitse olla systemaattista ja säännöllistä.</v>
      </c>
      <c r="H8" s="1282"/>
      <c r="I8" s="58">
        <v>2</v>
      </c>
      <c r="J8" s="31"/>
      <c r="K8" s="26"/>
      <c r="L8" s="43"/>
      <c r="M8" s="12"/>
      <c r="N8" s="1144"/>
      <c r="O8" s="12"/>
    </row>
    <row r="9" spans="1:15" s="17" customFormat="1" ht="49.95" customHeight="1" x14ac:dyDescent="0.25">
      <c r="A9" s="26"/>
      <c r="B9" s="59">
        <v>3</v>
      </c>
      <c r="C9" s="60" t="str">
        <f ca="1">_xlfn.IFNA(VLOOKUP("0-1-0-"&amp;B9,Data!$W:$X,2,FALSE),"")</f>
        <v>ACCESS-1c</v>
      </c>
      <c r="D9" s="1282" t="str">
        <f ca="1">IFERROR("("&amp;VLOOKUP("0-1-0-"&amp;B9,Data!$W:$X,2,FALSE)&amp;") "&amp;IF(VLOOKUP(C9,Languages!$A:$D,1,TRUE)=C9,VLOOKUP(C9,Languages!$A:$D,Summary!$C$7,TRUE),NA()),"")</f>
        <v>(ACCESS-1c) Identiteetit poistetaan käytöstä, kun niitä ei enää tarvita. Tasolla 1 tämän ei tarvitse olla systemaattista ja säännöllistä.</v>
      </c>
      <c r="E9" s="1282"/>
      <c r="F9" s="428" t="str">
        <f ca="1">_xlfn.IFNA(VLOOKUP("0-1-0-"&amp;I9,Data!$W:$X,2,FALSE),"")</f>
        <v>ACCESS-2a</v>
      </c>
      <c r="G9" s="1282" t="str">
        <f ca="1">IFERROR("("&amp;VLOOKUP("0-1-0-"&amp;I9,Data!$W:$X,2,FALSE)&amp;") "&amp;IF(VLOOKUP(F9,Languages!$A:$D,1,TRUE)=F9,VLOOKUP(F9,Languages!$A:$D,Summary!$C$7,TRUE),NA()),"")</f>
        <v>(ACCESS-2a) Loogisten käyttöoikeuksien hallinnan valvontakeinoja on käytössä. Tasolla 1 tämän ei tarvitse olla systemaattista ja säännöllistä.</v>
      </c>
      <c r="H9" s="1282"/>
      <c r="I9" s="58">
        <v>4</v>
      </c>
      <c r="J9" s="31"/>
      <c r="K9" s="26"/>
      <c r="L9" s="45"/>
      <c r="M9" s="12"/>
      <c r="N9" s="1144"/>
      <c r="O9" s="12"/>
    </row>
    <row r="10" spans="1:15" s="17" customFormat="1" ht="49.95" customHeight="1" x14ac:dyDescent="0.25">
      <c r="A10" s="26"/>
      <c r="B10" s="59">
        <v>5</v>
      </c>
      <c r="C10" s="60" t="str">
        <f ca="1">_xlfn.IFNA(VLOOKUP("0-1-0-"&amp;B10,Data!$W:$X,2,FALSE),"")</f>
        <v>ACCESS-2b</v>
      </c>
      <c r="D10" s="1282" t="str">
        <f ca="1">IFERROR("("&amp;VLOOKUP("0-1-0-"&amp;B10,Data!$W:$X,2,FALSE)&amp;") "&amp;IF(VLOOKUP(C10,Languages!$A:$D,1,TRUE)=C10,VLOOKUP(C10,Languages!$A:$D,Summary!$C$7,TRUE),NA()),"")</f>
        <v>(ACCESS-2b) Käyttöoikeudet poistetaan, kun niitä ei enää tarvita. Tasolla 1 tämän ei tarvitse olla systemaattista ja säännöllistä.</v>
      </c>
      <c r="E10" s="1282"/>
      <c r="F10" s="428" t="str">
        <f ca="1">_xlfn.IFNA(VLOOKUP("0-1-0-"&amp;I10,Data!$W:$X,2,FALSE),"")</f>
        <v>ACCESS-3a</v>
      </c>
      <c r="G10" s="1282" t="str">
        <f ca="1">IFERROR("("&amp;VLOOKUP("0-1-0-"&amp;I10,Data!$W:$X,2,FALSE)&amp;") "&amp;IF(VLOOKUP(F10,Languages!$A:$D,1,TRUE)=F10,VLOOKUP(F10,Languages!$A:$D,Summary!$C$7,TRUE),NA()),"")</f>
        <v>(ACCESS-3a) Fyysisen pääsynhallinnan valvontakeinoja on käytössä (kuten aitoja, lukkoja tai kylttejä). Tasolla 1 tämän ei tarvitse olla systemaattista ja säännöllistä.</v>
      </c>
      <c r="H10" s="1282"/>
      <c r="I10" s="58">
        <v>6</v>
      </c>
      <c r="J10" s="31"/>
      <c r="K10" s="26"/>
      <c r="L10" s="45"/>
      <c r="M10" s="754"/>
      <c r="N10" s="1144"/>
      <c r="O10" s="754"/>
    </row>
    <row r="11" spans="1:15" s="17" customFormat="1" ht="49.95" customHeight="1" x14ac:dyDescent="0.25">
      <c r="A11" s="26"/>
      <c r="B11" s="59">
        <v>7</v>
      </c>
      <c r="C11" s="60" t="str">
        <f ca="1">_xlfn.IFNA(VLOOKUP("0-1-0-"&amp;B11,Data!$W:$X,2,FALSE),"")</f>
        <v>ACCESS-3b</v>
      </c>
      <c r="D11" s="1282" t="str">
        <f ca="1">IFERROR("("&amp;VLOOKUP("0-1-0-"&amp;B11,Data!$W:$X,2,FALSE)&amp;") "&amp;IF(VLOOKUP(C11,Languages!$A:$D,1,TRUE)=C11,VLOOKUP(C11,Languages!$A:$D,Summary!$C$7,TRUE),NA()),"")</f>
        <v>(ACCESS-3b) Pääsyoikeudet poistetaan, kun niitä ei enää tarvita. Tasolla 1 tämän ei tarvitse olla systemaattista ja säännöllistä.</v>
      </c>
      <c r="E11" s="1282"/>
      <c r="F11" s="428" t="str">
        <f ca="1">_xlfn.IFNA(VLOOKUP("0-1-0-"&amp;I11,Data!$W:$X,2,FALSE),"")</f>
        <v>ACCESS-3c</v>
      </c>
      <c r="G11" s="1282" t="str">
        <f ca="1">IFERROR("("&amp;VLOOKUP("0-1-0-"&amp;I11,Data!$W:$X,2,FALSE)&amp;") "&amp;IF(VLOOKUP(F11,Languages!$A:$D,1,TRUE)=F11,VLOOKUP(F11,Languages!$A:$D,Summary!$C$7,TRUE),NA()),"")</f>
        <v>(ACCESS-3c) Pääsyoikeuksien käytöstä pidetään lokia. Tasolla 1 tämän ei tarvitse olla systemaattista ja säännöllistä.</v>
      </c>
      <c r="H11" s="1282"/>
      <c r="I11" s="58">
        <v>8</v>
      </c>
      <c r="J11" s="31"/>
      <c r="K11" s="26"/>
      <c r="L11" s="45"/>
      <c r="M11" s="754"/>
      <c r="N11" s="1144"/>
      <c r="O11" s="754"/>
    </row>
    <row r="12" spans="1:15" s="17" customFormat="1" ht="49.95" customHeight="1" x14ac:dyDescent="0.25">
      <c r="A12" s="26"/>
      <c r="B12" s="59">
        <v>9</v>
      </c>
      <c r="C12" s="60" t="str">
        <f ca="1">_xlfn.IFNA(VLOOKUP("0-1-0-"&amp;B12,Data!$W:$X,2,FALSE),"")</f>
        <v>ARCHITECTURE-1a</v>
      </c>
      <c r="D12" s="1282" t="str">
        <f ca="1">IFERROR("("&amp;VLOOKUP("0-1-0-"&amp;B12,Data!$W:$X,2,FALSE)&amp;") "&amp;IF(VLOOKUP(C12,Languages!$A:$D,1,TRUE)=C12,VLOOKUP(C12,Languages!$A:$D,Summary!$C$7,TRUE),NA()),"")</f>
        <v>(ARCHITECTURE-1a) Organisaatiolla on suunnitelma tai strategia kyberarkkitehtuurin kehittämiselle (joka sisältää esimerkiksi kyberarkkitehtuurin tavoitteet, prioriteetit, vastuut ja seurannan). Tasolla 1 sen kehittämisen ja ylläpidon ei tarvitse olla systemaattista ja säännöllistä.</v>
      </c>
      <c r="E12" s="1282"/>
      <c r="F12" s="428" t="str">
        <f ca="1">_xlfn.IFNA(VLOOKUP("0-1-0-"&amp;I12,Data!$W:$X,2,FALSE),"")</f>
        <v>ARCHITECTURE-2a</v>
      </c>
      <c r="G12" s="1282" t="str">
        <f ca="1">IFERROR("("&amp;VLOOKUP("0-1-0-"&amp;I12,Data!$W:$X,2,FALSE)&amp;") "&amp;IF(VLOOKUP(F12,Languages!$A:$D,1,TRUE)=F12,VLOOKUP(F12,Languages!$A:$D,Summary!$C$7,TRUE),NA()),"")</f>
        <v>(ARCHITECTURE-2a) Verkon suojauksia on toteutettu, ainakin tapauskohtaisesti. Tasolla 1 tämän ei tarvitse olla systemaattista tai säännöllistä.</v>
      </c>
      <c r="H12" s="1282"/>
      <c r="I12" s="58">
        <v>10</v>
      </c>
      <c r="J12" s="31"/>
      <c r="K12" s="26"/>
      <c r="L12" s="45"/>
      <c r="M12" s="754"/>
      <c r="N12" s="1145"/>
      <c r="O12" s="754"/>
    </row>
    <row r="13" spans="1:15" s="17" customFormat="1" ht="49.95" customHeight="1" x14ac:dyDescent="0.25">
      <c r="A13" s="26"/>
      <c r="B13" s="59">
        <v>11</v>
      </c>
      <c r="C13" s="60" t="str">
        <f ca="1">_xlfn.IFNA(VLOOKUP("0-1-0-"&amp;B13,Data!$W:$X,2,FALSE),"")</f>
        <v>ARCHITECTURE-2b</v>
      </c>
      <c r="D13" s="1282" t="str">
        <f ca="1">IFERROR("("&amp;VLOOKUP("0-1-0-"&amp;B13,Data!$W:$X,2,FALSE)&amp;") "&amp;IF(VLOOKUP(C13,Languages!$A:$D,1,TRUE)=C13,VLOOKUP(C13,Languages!$A:$D,Summary!$C$7,TRUE),NA()),"")</f>
        <v>(ARCHITECTURE-2b) 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3" s="1282"/>
      <c r="F13" s="428" t="str">
        <f ca="1">_xlfn.IFNA(VLOOKUP("0-1-0-"&amp;I13,Data!$W:$X,2,FALSE),"")</f>
        <v>ARCHITECTURE-3a</v>
      </c>
      <c r="G13" s="1282" t="str">
        <f ca="1">IFERROR("("&amp;VLOOKUP("0-1-0-"&amp;I13,Data!$W:$X,2,FALSE)&amp;") "&amp;IF(VLOOKUP(F13,Languages!$A:$D,1,TRUE)=F13,VLOOKUP(F13,Languages!$A:$D,Summary!$C$7,TRUE),NA()),"")</f>
        <v>(ARCHITECTURE-3a) Käyttöoikeuksien ja pääsynhallinan kontrolleja/suojausmekanismeja on käytössä toiminnon kannalta tärkeille laitteille, ohjelmistoille ja tietovarannoille. Tasolla 1 tämä toteutetaan mikäli tehtävissä, mutta sen ei tarvitse olla systemaattista ja säännöllistä.</v>
      </c>
      <c r="H13" s="1282"/>
      <c r="I13" s="58">
        <v>12</v>
      </c>
      <c r="J13" s="31"/>
      <c r="K13" s="26"/>
      <c r="L13" s="45"/>
      <c r="M13" s="754"/>
      <c r="N13" s="12"/>
      <c r="O13" s="754"/>
    </row>
    <row r="14" spans="1:15" s="17" customFormat="1" ht="49.95" customHeight="1" x14ac:dyDescent="0.25">
      <c r="A14" s="26"/>
      <c r="B14" s="59">
        <v>13</v>
      </c>
      <c r="C14" s="60" t="str">
        <f ca="1">_xlfn.IFNA(VLOOKUP("0-1-0-"&amp;B14,Data!$W:$X,2,FALSE),"")</f>
        <v>ARCHITECTURE-3b</v>
      </c>
      <c r="D14" s="1282" t="str">
        <f ca="1">IFERROR("("&amp;VLOOKUP("0-1-0-"&amp;B14,Data!$W:$X,2,FALSE)&amp;") "&amp;IF(VLOOKUP(C14,Languages!$A:$D,1,TRUE)=C14,VLOOKUP(C14,Languages!$A:$D,Summary!$C$7,TRUE),NA()),"")</f>
        <v>(ARCHITECTURE-3b) 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 s="1282"/>
      <c r="F14" s="428" t="str">
        <f ca="1">_xlfn.IFNA(VLOOKUP("0-1-0-"&amp;I14,Data!$W:$X,2,FALSE),"")</f>
        <v>ARCHITECTURE-5a</v>
      </c>
      <c r="G14" s="1282" t="str">
        <f ca="1">IFERROR("("&amp;VLOOKUP("0-1-0-"&amp;I14,Data!$W:$X,2,FALSE)&amp;") "&amp;IF(VLOOKUP(F14,Languages!$A:$D,1,TRUE)=F14,VLOOKUP(F14,Languages!$A:$D,Summary!$C$7,TRUE),NA()),"")</f>
        <v>(ARCHITECTURE-5a) Tallennettua arkaluontoista tietoa ("data at rest") suojataan. Tasolla 1 tämän ei tarvitse olla systemaattista ja säännöllistä.</v>
      </c>
      <c r="H14" s="1282"/>
      <c r="I14" s="58">
        <v>14</v>
      </c>
      <c r="J14" s="31"/>
      <c r="K14" s="26"/>
      <c r="L14" s="45"/>
      <c r="M14" s="77"/>
      <c r="N14" s="77"/>
      <c r="O14" s="77"/>
    </row>
    <row r="15" spans="1:15" s="17" customFormat="1" ht="49.95" customHeight="1" x14ac:dyDescent="0.25">
      <c r="A15" s="26"/>
      <c r="B15" s="59">
        <v>15</v>
      </c>
      <c r="C15" s="60" t="str">
        <f ca="1">_xlfn.IFNA(VLOOKUP("0-1-0-"&amp;B15,Data!$W:$X,2,FALSE),"")</f>
        <v>ASSET-1a</v>
      </c>
      <c r="D15" s="1282" t="str">
        <f ca="1">IFERROR("("&amp;VLOOKUP("0-1-0-"&amp;B15,Data!$W:$X,2,FALSE)&amp;") "&amp;IF(VLOOKUP(C15,Languages!$A:$D,1,TRUE)=C15,VLOOKUP(C15,Languages!$A:$D,Summary!$C$7,TRUE),NA()),"")</f>
        <v>(ASSET-1a) Toiminnon kannalta tärkeistä IT- ja OT-laitteista ja ohjelmistoista on olemassa rekisteri. (Huomioi myös mahdollisten OT-ympäristöjen laitteet ja ohjelmistot). Tasolla 1 rekisterin ylläpidon ei tarvitse olla systemaattista ja säännöllistä.</v>
      </c>
      <c r="E15" s="1282"/>
      <c r="F15" s="428" t="str">
        <f ca="1">_xlfn.IFNA(VLOOKUP("0-1-0-"&amp;I15,Data!$W:$X,2,FALSE),"")</f>
        <v>ASSET-2a</v>
      </c>
      <c r="G15" s="1282" t="str">
        <f ca="1">IFERROR("("&amp;VLOOKUP("0-1-0-"&amp;I15,Data!$W:$X,2,FALSE)&amp;") "&amp;IF(VLOOKUP(F15,Languages!$A:$D,1,TRUE)=F15,VLOOKUP(F15,Languages!$A:$D,Summary!$C$7,TRUE),NA()),"")</f>
        <v>(ASSET-2a) 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H15" s="1282"/>
      <c r="I15" s="58">
        <v>16</v>
      </c>
      <c r="J15" s="31"/>
      <c r="K15" s="26"/>
      <c r="L15" s="45"/>
      <c r="M15" s="77"/>
      <c r="N15" s="77"/>
      <c r="O15" s="77"/>
    </row>
    <row r="16" spans="1:15" s="17" customFormat="1" ht="49.95" customHeight="1" x14ac:dyDescent="0.25">
      <c r="A16" s="26"/>
      <c r="B16" s="59">
        <v>17</v>
      </c>
      <c r="C16" s="60" t="str">
        <f ca="1">_xlfn.IFNA(VLOOKUP("0-1-0-"&amp;B16,Data!$W:$X,2,FALSE),"")</f>
        <v>ASSET-3a</v>
      </c>
      <c r="D16" s="1282" t="str">
        <f ca="1">IFERROR("("&amp;VLOOKUP("0-1-0-"&amp;B16,Data!$W:$X,2,FALSE)&amp;") "&amp;IF(VLOOKUP(C16,Languages!$A:$D,1,TRUE)=C16,VLOOKUP(C16,Languages!$A:$D,Summary!$C$7,TRUE),NA()),"")</f>
        <v>(ASSET-3a) Laitteiden, ohjelmistojen ja tietovarantojen konfiguraatioista on luotu vakioidut perusasetukset. Tasolla 1 tämän ei tarvitse olla systemaattista ja säännöllistä.</v>
      </c>
      <c r="E16" s="1282"/>
      <c r="F16" s="428" t="str">
        <f ca="1">_xlfn.IFNA(VLOOKUP("0-1-0-"&amp;I16,Data!$W:$X,2,FALSE),"")</f>
        <v>ASSET-4a</v>
      </c>
      <c r="G16" s="1282" t="str">
        <f ca="1">IFERROR("("&amp;VLOOKUP("0-1-0-"&amp;I16,Data!$W:$X,2,FALSE)&amp;") "&amp;IF(VLOOKUP(F16,Languages!$A:$D,1,TRUE)=F16,VLOOKUP(F16,Languages!$A:$D,Summary!$C$7,TRUE),NA()),"")</f>
        <v>(ASSET-4a) Laitteisiin, ohjelmistoihin ja tietovarantoihin tehtävät muutokset arvioidaan ja hyväksytetään ennen niiden toteuttamista. Tasolla 1 tämän ei tarvitse olla systemaattista ja säännöllistä. (ad hoc, tapauskohtaisesti)</v>
      </c>
      <c r="H16" s="1282"/>
      <c r="I16" s="58">
        <v>18</v>
      </c>
      <c r="J16" s="31"/>
      <c r="K16" s="26"/>
      <c r="L16" s="45"/>
      <c r="M16" s="77"/>
      <c r="N16" s="77"/>
      <c r="O16" s="77"/>
    </row>
    <row r="17" spans="1:15" s="17" customFormat="1" ht="49.95" customHeight="1" x14ac:dyDescent="0.25">
      <c r="A17" s="26"/>
      <c r="B17" s="59">
        <v>19</v>
      </c>
      <c r="C17" s="60" t="str">
        <f ca="1">_xlfn.IFNA(VLOOKUP("0-1-0-"&amp;B17,Data!$W:$X,2,FALSE),"")</f>
        <v>ASSET-4b</v>
      </c>
      <c r="D17" s="1282" t="str">
        <f ca="1">IFERROR("("&amp;VLOOKUP("0-1-0-"&amp;B17,Data!$W:$X,2,FALSE)&amp;") "&amp;IF(VLOOKUP(C17,Languages!$A:$D,1,TRUE)=C17,VLOOKUP(C17,Languages!$A:$D,Summary!$C$7,TRUE),NA()),"")</f>
        <v>(ASSET-4b) Laitteisiin, ohjelmistoihin ja tietovarantoihin tehtävistä muutoksista pidetään lokia. Tasolla 1 tämän ei tarvitse olla systemaattista ja säännöllistä. (ad hoc, tapauskohtaisesti)</v>
      </c>
      <c r="E17" s="1282"/>
      <c r="F17" s="428" t="str">
        <f ca="1">_xlfn.IFNA(VLOOKUP("0-1-0-"&amp;I17,Data!$W:$X,2,FALSE),"")</f>
        <v>CRITICAL-1a</v>
      </c>
      <c r="G17" s="1282" t="str">
        <f ca="1">IFERROR("("&amp;VLOOKUP("0-1-0-"&amp;I17,Data!$W:$X,2,FALSE)&amp;") "&amp;IF(VLOOKUP(F17,Languages!$A:$D,1,TRUE)=F17,VLOOKUP(F17,Languages!$A:$D,Summary!$C$7,TRUE),NA()),"")</f>
        <v>(CRITICAL-1a) Organisaation tuottamat yhteiskunnalle kriittiset palvelut on tunnistettu ja dokumentoitu.</v>
      </c>
      <c r="H17" s="1282"/>
      <c r="I17" s="58">
        <v>20</v>
      </c>
      <c r="J17" s="31"/>
      <c r="K17" s="26"/>
      <c r="L17" s="45"/>
      <c r="M17" s="77"/>
      <c r="N17" s="77"/>
      <c r="O17" s="77"/>
    </row>
    <row r="18" spans="1:15" s="17" customFormat="1" ht="49.95" customHeight="1" x14ac:dyDescent="0.25">
      <c r="A18" s="26"/>
      <c r="B18" s="59">
        <v>21</v>
      </c>
      <c r="C18" s="60" t="str">
        <f ca="1">_xlfn.IFNA(VLOOKUP("0-1-0-"&amp;B18,Data!$W:$X,2,FALSE),"")</f>
        <v>CRITICAL-1b</v>
      </c>
      <c r="D18" s="1282" t="str">
        <f ca="1">IFERROR("("&amp;VLOOKUP("0-1-0-"&amp;B18,Data!$W:$X,2,FALSE)&amp;") "&amp;IF(VLOOKUP(C18,Languages!$A:$D,1,TRUE)=C18,VLOOKUP(C18,Languages!$A:$D,Summary!$C$7,TRUE),NA()),"")</f>
        <v>(CRITICAL-1b) (Yhteiskunnalle kriittisten) palveluiden tuottamiseen tarvittava data on tunnistettu ja dokumentoitu.</v>
      </c>
      <c r="E18" s="1282"/>
      <c r="F18" s="428" t="str">
        <f ca="1">_xlfn.IFNA(VLOOKUP("0-1-0-"&amp;I18,Data!$W:$X,2,FALSE),"")</f>
        <v>CRITICAL-1c</v>
      </c>
      <c r="G18" s="1282" t="str">
        <f ca="1">IFERROR("("&amp;VLOOKUP("0-1-0-"&amp;I18,Data!$W:$X,2,FALSE)&amp;") "&amp;IF(VLOOKUP(F18,Languages!$A:$D,1,TRUE)=F18,VLOOKUP(F18,Languages!$A:$D,Summary!$C$7,TRUE),NA()),"")</f>
        <v>(CRITICAL-1c) Palveluiden tuottamiseen tarvittavat prosessit on tunnistettu ja dokumentoitu.</v>
      </c>
      <c r="H18" s="1282"/>
      <c r="I18" s="58">
        <v>22</v>
      </c>
      <c r="J18" s="31"/>
      <c r="K18" s="26"/>
      <c r="L18" s="45"/>
      <c r="M18" s="77"/>
      <c r="N18" s="77"/>
      <c r="O18" s="77"/>
    </row>
    <row r="19" spans="1:15" s="17" customFormat="1" ht="49.95" customHeight="1" x14ac:dyDescent="0.25">
      <c r="A19" s="26"/>
      <c r="B19" s="59">
        <v>23</v>
      </c>
      <c r="C19" s="60" t="str">
        <f ca="1">_xlfn.IFNA(VLOOKUP("0-1-0-"&amp;B19,Data!$W:$X,2,FALSE),"")</f>
        <v>CRITICAL-1d</v>
      </c>
      <c r="D19" s="1282" t="str">
        <f ca="1">IFERROR("("&amp;VLOOKUP("0-1-0-"&amp;B19,Data!$W:$X,2,FALSE)&amp;") "&amp;IF(VLOOKUP(C19,Languages!$A:$D,1,TRUE)=C19,VLOOKUP(C19,Languages!$A:$D,Summary!$C$7,TRUE),NA()),"")</f>
        <v>(CRITICAL-1d) Palveluiden tuottamiseen tarvittavat järjestelmät (IT- ja OT-omaisuus) on tunnistettu ja dokumentoitu.</v>
      </c>
      <c r="E19" s="1282"/>
      <c r="F19" s="428" t="str">
        <f ca="1">_xlfn.IFNA(VLOOKUP("0-1-0-"&amp;I19,Data!$W:$X,2,FALSE),"")</f>
        <v>CRITICAL-2a</v>
      </c>
      <c r="G19" s="1282" t="str">
        <f ca="1">IFERROR("("&amp;VLOOKUP("0-1-0-"&amp;I19,Data!$W:$X,2,FALSE)&amp;") "&amp;IF(VLOOKUP(F19,Languages!$A:$D,1,TRUE)=F19,VLOOKUP(F19,Languages!$A:$D,Summary!$C$7,TRUE),NA()),"")</f>
        <v>(CRITICAL-2a) Kaikki resurssit (data, prosessit, järjestelmät, tilat ja toimitusketjut), joita tarvitaan (yhteiskunnalle kriittisten) palveluiden tuottamiseen, ovat organisaation turvallisuuden hallinnan politiikkojen ja prosessien piirissä.</v>
      </c>
      <c r="H19" s="1282"/>
      <c r="I19" s="58">
        <v>24</v>
      </c>
      <c r="J19" s="31"/>
      <c r="K19" s="26"/>
      <c r="L19" s="45"/>
      <c r="M19" s="77"/>
      <c r="N19" s="77"/>
      <c r="O19" s="77"/>
    </row>
    <row r="20" spans="1:15" s="17" customFormat="1" ht="49.95" customHeight="1" x14ac:dyDescent="0.25">
      <c r="A20" s="26"/>
      <c r="B20" s="59">
        <v>25</v>
      </c>
      <c r="C20" s="60" t="str">
        <f ca="1">_xlfn.IFNA(VLOOKUP("0-1-0-"&amp;B20,Data!$W:$X,2,FALSE),"")</f>
        <v>CRITICAL-2b</v>
      </c>
      <c r="D20" s="1282" t="str">
        <f ca="1">IFERROR("("&amp;VLOOKUP("0-1-0-"&amp;B20,Data!$W:$X,2,FALSE)&amp;") "&amp;IF(VLOOKUP(C20,Languages!$A:$D,1,TRUE)=C20,VLOOKUP(C20,Languages!$A:$D,Summary!$C$7,TRUE),NA()),"")</f>
        <v>(CRITICAL-2b) Kaikki resurssit (data, prosessit, järjestelmät, tilat ja toimitusketjut), joita tarvitaan yhteiskunnallisesti kriittisten palvelujen tuottamiseen, ovat organisaation riskienhallinnan politiikkojen ja prosessien piirissä.</v>
      </c>
      <c r="E20" s="1282"/>
      <c r="F20" s="428" t="str">
        <f ca="1">_xlfn.IFNA(VLOOKUP("0-1-0-"&amp;I20,Data!$W:$X,2,FALSE),"")</f>
        <v>CRITICAL-3a</v>
      </c>
      <c r="G20" s="1282" t="str">
        <f ca="1">IFERROR("("&amp;VLOOKUP("0-1-0-"&amp;I20,Data!$W:$X,2,FALSE)&amp;") "&amp;IF(VLOOKUP(F20,Languages!$A:$D,1,TRUE)=F20,VLOOKUP(F20,Languages!$A:$D,Summary!$C$7,TRUE),NA()),"")</f>
        <v>(CRITICAL-3a) Organisaatiolla on kybertapahtumien ja -häiriöiden hallintasuunnitelma, joka kattaa kaikki (organisaation tuottamat yhteiskunnalle kriittiset) palvelut.</v>
      </c>
      <c r="H20" s="1282"/>
      <c r="I20" s="58">
        <v>26</v>
      </c>
      <c r="J20" s="31"/>
      <c r="K20" s="26"/>
      <c r="L20" s="42"/>
      <c r="M20" s="80"/>
      <c r="N20" s="80"/>
      <c r="O20" s="80"/>
    </row>
    <row r="21" spans="1:15" s="17" customFormat="1" ht="49.95" customHeight="1" x14ac:dyDescent="0.25">
      <c r="A21" s="26"/>
      <c r="B21" s="59">
        <v>27</v>
      </c>
      <c r="C21" s="60" t="str">
        <f ca="1">_xlfn.IFNA(VLOOKUP("0-1-0-"&amp;B21,Data!$W:$X,2,FALSE),"")</f>
        <v>CRITICAL-3b</v>
      </c>
      <c r="D21" s="1282" t="str">
        <f ca="1">IFERROR("("&amp;VLOOKUP("0-1-0-"&amp;B21,Data!$W:$X,2,FALSE)&amp;") "&amp;IF(VLOOKUP(C21,Languages!$A:$D,1,TRUE)=C21,VLOOKUP(C21,Languages!$A:$D,Summary!$C$7,TRUE),NA()),"")</f>
        <v>(CRITICAL-3b) Hallintasuunnitelma rajoittuu tunnettuihin hyökkäyksiin, mutta kattaa perusteellisesti näiden hyökkäysten todennäköiset vaikutukset.</v>
      </c>
      <c r="E21" s="1282"/>
      <c r="F21" s="428" t="str">
        <f ca="1">_xlfn.IFNA(VLOOKUP("0-1-0-"&amp;I21,Data!$W:$X,2,FALSE),"")</f>
        <v>CRITICAL-3c</v>
      </c>
      <c r="G21" s="1282" t="str">
        <f ca="1">IFERROR("("&amp;VLOOKUP("0-1-0-"&amp;I21,Data!$W:$X,2,FALSE)&amp;") "&amp;IF(VLOOKUP(F21,Languages!$A:$D,1,TRUE)=F21,VLOOKUP(F21,Languages!$A:$D,Summary!$C$7,TRUE),NA()),"")</f>
        <v>(CRITICAL-3c) Kybertapahtumien ja -häiriöiden hallintaan osallistuva henkilöstö on sisäistänyt ja ymmärtää hallintasuunnitelman hyvin.</v>
      </c>
      <c r="H21" s="1282"/>
      <c r="I21" s="58">
        <v>28</v>
      </c>
      <c r="J21" s="31"/>
      <c r="K21" s="26"/>
      <c r="L21" s="42"/>
      <c r="M21" s="80"/>
      <c r="N21" s="80"/>
      <c r="O21" s="80"/>
    </row>
    <row r="22" spans="1:15" s="17" customFormat="1" ht="49.95" customHeight="1" x14ac:dyDescent="0.25">
      <c r="A22" s="26"/>
      <c r="B22" s="59">
        <v>29</v>
      </c>
      <c r="C22" s="60" t="str">
        <f ca="1">_xlfn.IFNA(VLOOKUP("0-1-0-"&amp;B22,Data!$W:$X,2,FALSE),"")</f>
        <v>CRITICAL-3d</v>
      </c>
      <c r="D22" s="1282" t="str">
        <f ca="1">IFERROR("("&amp;VLOOKUP("0-1-0-"&amp;B22,Data!$W:$X,2,FALSE)&amp;") "&amp;IF(VLOOKUP(C22,Languages!$A:$D,1,TRUE)=C22,VLOOKUP(C22,Languages!$A:$D,Summary!$C$7,TRUE),NA()),"")</f>
        <v>(CRITICAL-3d) Hallintasuunnitelma on dokumentoitu ja se jaetaan kaikille relevanteille sidosryhmille.</v>
      </c>
      <c r="E22" s="1282"/>
      <c r="F22" s="428" t="str">
        <f ca="1">_xlfn.IFNA(VLOOKUP("0-1-0-"&amp;I22,Data!$W:$X,2,FALSE),"")</f>
        <v>PROGRAM-1a</v>
      </c>
      <c r="G22" s="1282" t="str">
        <f ca="1">IFERROR("("&amp;VLOOKUP("0-1-0-"&amp;I22,Data!$W:$X,2,FALSE)&amp;") "&amp;IF(VLOOKUP(F22,Languages!$A:$D,1,TRUE)=F22,VLOOKUP(F22,Languages!$A:$D,Summary!$C$7,TRUE),NA()),"")</f>
        <v>(PROGRAM-1a) Organisaatiolla on kyberturvallisuusstrategia. Tasolla 1 sen kehittämisen ja ylläpidon ei tarvitse olla systemaattista ja säännöllistä.</v>
      </c>
      <c r="H22" s="1282"/>
      <c r="I22" s="58">
        <v>30</v>
      </c>
      <c r="J22" s="31"/>
      <c r="K22" s="26"/>
      <c r="L22" s="46"/>
      <c r="M22" s="77"/>
      <c r="N22" s="77"/>
      <c r="O22" s="77"/>
    </row>
    <row r="23" spans="1:15" s="17" customFormat="1" ht="49.95" customHeight="1" x14ac:dyDescent="0.25">
      <c r="A23" s="26"/>
      <c r="B23" s="59">
        <v>31</v>
      </c>
      <c r="C23" s="60" t="str">
        <f ca="1">_xlfn.IFNA(VLOOKUP("0-1-0-"&amp;B23,Data!$W:$X,2,FALSE),"")</f>
        <v>PROGRAM-2a</v>
      </c>
      <c r="D23" s="1282" t="str">
        <f ca="1">IFERROR("("&amp;VLOOKUP("0-1-0-"&amp;B23,Data!$W:$X,2,FALSE)&amp;") "&amp;IF(VLOOKUP(C23,Languages!$A:$D,1,TRUE)=C23,VLOOKUP(C23,Languages!$A:$D,Summary!$C$7,TRUE),NA()),"")</f>
        <v>(PROGRAM-2a) Organisaation ylin johto tukee kyberturvallisuuden hallintaa. Tasolla 1 tämän ei tarvitse olla systemaattista ja säännöllistä.</v>
      </c>
      <c r="E23" s="1282"/>
      <c r="F23" s="428" t="str">
        <f ca="1">_xlfn.IFNA(VLOOKUP("0-1-0-"&amp;I23,Data!$W:$X,2,FALSE),"")</f>
        <v>RESPONSE-1a</v>
      </c>
      <c r="G23" s="1282" t="str">
        <f ca="1">IFERROR("("&amp;VLOOKUP("0-1-0-"&amp;I23,Data!$W:$X,2,FALSE)&amp;") "&amp;IF(VLOOKUP(F23,Languages!$A:$D,1,TRUE)=F23,VLOOKUP(F23,Languages!$A:$D,Summary!$C$7,TRUE),NA()),"")</f>
        <v>(RESPONSE-1a) Havaitut kybertapahtumat raportoidaan ennalta määritellyille henkilöille tai roolien haltijoille ja ne documentoidaan (ainakin tapauskohtaisesti). Tasolla 1 tämän ei tarvitse olla systemaattista ja säännöllistä.</v>
      </c>
      <c r="H23" s="1282"/>
      <c r="I23" s="58">
        <v>32</v>
      </c>
      <c r="J23" s="31"/>
      <c r="K23" s="26"/>
      <c r="L23" s="46"/>
      <c r="M23" s="77"/>
      <c r="N23" s="77"/>
      <c r="O23" s="77"/>
    </row>
    <row r="24" spans="1:15" s="17" customFormat="1" ht="49.95" customHeight="1" x14ac:dyDescent="0.25">
      <c r="A24" s="26"/>
      <c r="B24" s="59">
        <v>33</v>
      </c>
      <c r="C24" s="60" t="str">
        <f ca="1">_xlfn.IFNA(VLOOKUP("0-1-0-"&amp;B24,Data!$W:$X,2,FALSE),"")</f>
        <v>RESPONSE-2a</v>
      </c>
      <c r="D24" s="1282" t="str">
        <f ca="1">IFERROR("("&amp;VLOOKUP("0-1-0-"&amp;B24,Data!$W:$X,2,FALSE)&amp;") "&amp;IF(VLOOKUP(C24,Languages!$A:$D,1,TRUE)=C24,VLOOKUP(C24,Languages!$A:$D,Summary!$C$7,TRUE),NA()),"")</f>
        <v>(RESPONSE-2a) Kyberhäiriöiden määrittämisestä on laadittu kriteeristö. Tasolla 1 tämän ei tarvitse olla systemaattista ja säännöllistä.</v>
      </c>
      <c r="E24" s="1282"/>
      <c r="F24" s="428" t="str">
        <f ca="1">_xlfn.IFNA(VLOOKUP("0-1-0-"&amp;I24,Data!$W:$X,2,FALSE),"")</f>
        <v>RESPONSE-2b</v>
      </c>
      <c r="G24" s="1282" t="str">
        <f ca="1">IFERROR("("&amp;VLOOKUP("0-1-0-"&amp;I24,Data!$W:$X,2,FALSE)&amp;") "&amp;IF(VLOOKUP(F24,Languages!$A:$D,1,TRUE)=F24,VLOOKUP(F24,Languages!$A:$D,Summary!$C$7,TRUE),NA()),"")</f>
        <v>(RESPONSE-2b) Kybertapahtumat analysoidaan siten, että se tukee mahdollisten kyberhäiriöiden määrittämistä. Tasolla 1 tämän ei tarvitse olla systemaattista ja säännöllistä.</v>
      </c>
      <c r="H24" s="1282"/>
      <c r="I24" s="58">
        <v>34</v>
      </c>
      <c r="J24" s="31"/>
      <c r="K24" s="26"/>
      <c r="L24" s="46"/>
      <c r="M24" s="77"/>
      <c r="N24" s="77"/>
      <c r="O24" s="77"/>
    </row>
    <row r="25" spans="1:15" s="17" customFormat="1" ht="49.95" customHeight="1" x14ac:dyDescent="0.25">
      <c r="A25" s="26"/>
      <c r="B25" s="59">
        <v>35</v>
      </c>
      <c r="C25" s="60" t="str">
        <f ca="1">_xlfn.IFNA(VLOOKUP("0-1-0-"&amp;B25,Data!$W:$X,2,FALSE),"")</f>
        <v>RESPONSE-3a</v>
      </c>
      <c r="D25" s="1282" t="str">
        <f ca="1">IFERROR("("&amp;VLOOKUP("0-1-0-"&amp;B25,Data!$W:$X,2,FALSE)&amp;") "&amp;IF(VLOOKUP(C25,Languages!$A:$D,1,TRUE)=C25,VLOOKUP(C25,Languages!$A:$D,Summary!$C$7,TRUE),NA()),"")</f>
        <v>(RESPONSE-3a) Kyberhäiriöihin reagoimista varten on tunnistettu soveltuvat työntekijät ja heille on annettu roolit (ainakin tapauskohtaisesti). Tasolla 1 tämän ei tarvitse olla systemaattista ja säännöllistä.</v>
      </c>
      <c r="E25" s="1282"/>
      <c r="F25" s="428" t="str">
        <f ca="1">_xlfn.IFNA(VLOOKUP("0-1-0-"&amp;I25,Data!$W:$X,2,FALSE),"")</f>
        <v>RESPONSE-3b</v>
      </c>
      <c r="G25" s="1282" t="str">
        <f ca="1">IFERROR("("&amp;VLOOKUP("0-1-0-"&amp;I25,Data!$W:$X,2,FALSE)&amp;") "&amp;IF(VLOOKUP(F25,Languages!$A:$D,1,TRUE)=F25,VLOOKUP(F25,Languages!$A:$D,Summary!$C$7,TRUE),NA()),"")</f>
        <v>(RESPONSE-3b) Kyberhäiriöihin reagoidaan siten, että toiminnalla (voidaan toteuttaa tapauskohtaisesti) rajoitetaan toimintoon kohdistuvaa vaikutusta ja palautetaan toiminta normaaliksi. Tasolla 1 tämän ei tarvitse olla systemaattista ja säännöllistä.</v>
      </c>
      <c r="H25" s="1282"/>
      <c r="I25" s="58">
        <v>36</v>
      </c>
      <c r="J25" s="31"/>
      <c r="K25" s="26"/>
      <c r="L25" s="46"/>
      <c r="M25" s="77"/>
      <c r="N25" s="77"/>
      <c r="O25" s="77"/>
    </row>
    <row r="26" spans="1:15" s="17" customFormat="1" ht="49.95" customHeight="1" x14ac:dyDescent="0.25">
      <c r="A26" s="26"/>
      <c r="B26" s="59">
        <v>37</v>
      </c>
      <c r="C26" s="60" t="str">
        <f ca="1">_xlfn.IFNA(VLOOKUP("0-1-0-"&amp;B26,Data!$W:$X,2,FALSE),"")</f>
        <v>RESPONSE-3c</v>
      </c>
      <c r="D26" s="1282" t="str">
        <f ca="1">IFERROR("("&amp;VLOOKUP("0-1-0-"&amp;B26,Data!$W:$X,2,FALSE)&amp;") "&amp;IF(VLOOKUP(C26,Languages!$A:$D,1,TRUE)=C26,VLOOKUP(C26,Languages!$A:$D,Summary!$C$7,TRUE),NA()),"")</f>
        <v>(RESPONSE-3c) Kyberhäiriöistä tuotetaan raportointia (esimerkiksi sisäisesti, CERT-FI tai soveltuville ISAC-ryhmille). Tasolla 1 tämän ei tarvitse olla systemaattista ja säännöllistä.</v>
      </c>
      <c r="E26" s="1282"/>
      <c r="F26" s="428" t="str">
        <f ca="1">_xlfn.IFNA(VLOOKUP("0-1-0-"&amp;I26,Data!$W:$X,2,FALSE),"")</f>
        <v>RESPONSE-4a</v>
      </c>
      <c r="G26" s="1282" t="str">
        <f ca="1">IFERROR("("&amp;VLOOKUP("0-1-0-"&amp;I26,Data!$W:$X,2,FALSE)&amp;") "&amp;IF(VLOOKUP(F26,Languages!$A:$D,1,TRUE)=F26,VLOOKUP(F26,Languages!$A:$D,Summary!$C$7,TRUE),NA()),"")</f>
        <v>(RESPONSE-4a) Organisaatio on kehittänyt toiminnan jatkuvuutta koskevat suunnitelmat, joiden avulla toiminnon toiminta voidaan säilyttää ja palauttaa, mikäli toimintaan kohdistuu kybertapahtuma tai -häiriö. Tasolla 1 tämän ei tarvitse olla systemaattista ja säännöllistä.</v>
      </c>
      <c r="H26" s="1282"/>
      <c r="I26" s="58">
        <v>38</v>
      </c>
      <c r="J26" s="31"/>
      <c r="K26" s="26"/>
      <c r="L26" s="46"/>
      <c r="M26" s="77"/>
      <c r="N26" s="77"/>
      <c r="O26" s="77"/>
    </row>
    <row r="27" spans="1:15" s="17" customFormat="1" ht="49.95" customHeight="1" x14ac:dyDescent="0.25">
      <c r="A27" s="26"/>
      <c r="B27" s="59">
        <v>39</v>
      </c>
      <c r="C27" s="60" t="str">
        <f ca="1">_xlfn.IFNA(VLOOKUP("0-1-0-"&amp;B27,Data!$W:$X,2,FALSE),"")</f>
        <v>RESPONSE-4b</v>
      </c>
      <c r="D27" s="1282" t="str">
        <f ca="1">IFERROR("("&amp;VLOOKUP("0-1-0-"&amp;B27,Data!$W:$X,2,FALSE)&amp;") "&amp;IF(VLOOKUP(C27,Languages!$A:$D,1,TRUE)=C27,VLOOKUP(C27,Languages!$A:$D,Summary!$C$7,TRUE),NA()),"")</f>
        <v>(RESPONSE-4b) Tiedoista on saatavilla varmuuskopiot, joita testaan. Tasolla 1 tämän ei tarvitse olla systemaattista ja säännöllistä.</v>
      </c>
      <c r="E27" s="1282"/>
      <c r="F27" s="428" t="str">
        <f ca="1">_xlfn.IFNA(VLOOKUP("0-1-0-"&amp;I27,Data!$W:$X,2,FALSE),"")</f>
        <v>RESPONSE-4c</v>
      </c>
      <c r="G27" s="1282" t="str">
        <f ca="1">IFERROR("("&amp;VLOOKUP("0-1-0-"&amp;I27,Data!$W:$X,2,FALSE)&amp;") "&amp;IF(VLOOKUP(F27,Languages!$A:$D,1,TRUE)=F27,VLOOKUP(F27,Languages!$A:$D,Summary!$C$7,TRUE),NA()),"")</f>
        <v>(RESPONSE-4c) Varaosia tarvitsevat IT-laitteet (ja mahdolliset OT-laitteet) on tunnistettu. Tasolla 1 tämän ei tarvitse olla systemaattista ja säännöllistä.</v>
      </c>
      <c r="H27" s="1282"/>
      <c r="I27" s="58">
        <v>40</v>
      </c>
      <c r="J27" s="31"/>
      <c r="K27" s="26"/>
      <c r="L27" s="46"/>
      <c r="M27" s="77"/>
      <c r="N27" s="77"/>
      <c r="O27" s="77"/>
    </row>
    <row r="28" spans="1:15" s="17" customFormat="1" ht="49.95" customHeight="1" x14ac:dyDescent="0.25">
      <c r="A28" s="26"/>
      <c r="B28" s="59">
        <v>41</v>
      </c>
      <c r="C28" s="60" t="str">
        <f ca="1">_xlfn.IFNA(VLOOKUP("0-1-0-"&amp;B28,Data!$W:$X,2,FALSE),"")</f>
        <v>RISK-1a</v>
      </c>
      <c r="D28" s="1282" t="str">
        <f ca="1">IFERROR("("&amp;VLOOKUP("0-1-0-"&amp;B28,Data!$W:$X,2,FALSE)&amp;") "&amp;IF(VLOOKUP(C28,Languages!$A:$D,1,TRUE)=C28,VLOOKUP(C28,Languages!$A:$D,Summary!$C$7,TRUE),NA()),"")</f>
        <v>(RISK-1a) Organisaation kyberriskienhallintaa ohjaa suunnitelma (esimerkiksi strategia tai vastaava johtotason politiikka). Tasolla 1 sen kehittämisen ja ylläpidon ei tarvitse olla systemaattista ja säännöllistä.</v>
      </c>
      <c r="E28" s="1282"/>
      <c r="F28" s="428" t="str">
        <f ca="1">_xlfn.IFNA(VLOOKUP("0-1-0-"&amp;I28,Data!$W:$X,2,FALSE),"")</f>
        <v>RISK-2a</v>
      </c>
      <c r="G28" s="1282" t="str">
        <f ca="1">IFERROR("("&amp;VLOOKUP("0-1-0-"&amp;I28,Data!$W:$X,2,FALSE)&amp;") "&amp;IF(VLOOKUP(F28,Languages!$A:$D,1,TRUE)=F28,VLOOKUP(F28,Languages!$A:$D,Summary!$C$7,TRUE),NA()),"")</f>
        <v>(RISK-2a) Kyberriskejä tunnistetaan. Tasolla 1 tämän ei tarvitse olla systemaattista ja säännöllistä.</v>
      </c>
      <c r="H28" s="1282"/>
      <c r="I28" s="58">
        <v>42</v>
      </c>
      <c r="J28" s="31"/>
      <c r="K28" s="26"/>
      <c r="L28" s="46"/>
      <c r="M28" s="77"/>
      <c r="N28" s="77"/>
      <c r="O28" s="77"/>
    </row>
    <row r="29" spans="1:15" s="17" customFormat="1" ht="49.95" customHeight="1" x14ac:dyDescent="0.25">
      <c r="A29" s="26"/>
      <c r="B29" s="59">
        <v>43</v>
      </c>
      <c r="C29" s="60" t="str">
        <f ca="1">_xlfn.IFNA(VLOOKUP("0-1-0-"&amp;B29,Data!$W:$X,2,FALSE),"")</f>
        <v>RISK-3a</v>
      </c>
      <c r="D29" s="1282" t="str">
        <f ca="1">IFERROR("("&amp;VLOOKUP("0-1-0-"&amp;B29,Data!$W:$X,2,FALSE)&amp;") "&amp;IF(VLOOKUP(C29,Languages!$A:$D,1,TRUE)=C29,VLOOKUP(C29,Languages!$A:$D,Summary!$C$7,TRUE),NA()),"")</f>
        <v>(RISK-3a) Kyberriskit priorisoidaan niiden arvioidun vaikutuksen perusteella. Tasolla 1 tämän ei tarvitse olla systemaattista ja säännöllistä.</v>
      </c>
      <c r="E29" s="1282"/>
      <c r="F29" s="428" t="str">
        <f ca="1">_xlfn.IFNA(VLOOKUP("0-1-0-"&amp;I29,Data!$W:$X,2,FALSE),"")</f>
        <v>RISK-4a</v>
      </c>
      <c r="G29" s="1282" t="str">
        <f ca="1">IFERROR("("&amp;VLOOKUP("0-1-0-"&amp;I29,Data!$W:$X,2,FALSE)&amp;") "&amp;IF(VLOOKUP(F29,Languages!$A:$D,1,TRUE)=F29,VLOOKUP(F29,Languages!$A:$D,Summary!$C$7,TRUE),NA()),"")</f>
        <v>(RISK-4a) Riskeihin reagointikeinot (kuten riskin pienentäminen, hyväksyminen, välttäminen tai siirtäminen) ovat käytössä kyberriskeille. Tasolla 1 tämän ei tarvitse olla systemaattista ja säännöllistä.</v>
      </c>
      <c r="H29" s="1282"/>
      <c r="I29" s="58">
        <v>44</v>
      </c>
      <c r="J29" s="31"/>
      <c r="K29" s="26"/>
      <c r="L29" s="46"/>
      <c r="M29" s="77"/>
      <c r="N29" s="77"/>
      <c r="O29" s="77"/>
    </row>
    <row r="30" spans="1:15" s="17" customFormat="1" ht="49.95" customHeight="1" x14ac:dyDescent="0.25">
      <c r="A30" s="26"/>
      <c r="B30" s="59">
        <v>45</v>
      </c>
      <c r="C30" s="60" t="str">
        <f ca="1">_xlfn.IFNA(VLOOKUP("0-1-0-"&amp;B30,Data!$W:$X,2,FALSE),"")</f>
        <v>SITUATION-1a</v>
      </c>
      <c r="D30" s="1282" t="str">
        <f ca="1">IFERROR("("&amp;VLOOKUP("0-1-0-"&amp;B30,Data!$W:$X,2,FALSE)&amp;") "&amp;IF(VLOOKUP(C30,Languages!$A:$D,1,TRUE)=C30,VLOOKUP(C30,Languages!$A:$D,Summary!$C$7,TRUE),NA()),"")</f>
        <v>(SITUATION-1a) Lokitietoa kerätään toiminnon kannalta tärkeistä laitteista, ohjelmistoista ja tietovarannoista (ainakin tapauskohtaisesti). Tasolla 1 tämän ei tarvitse olla systemaattista ja säännöllistä.</v>
      </c>
      <c r="E30" s="1282"/>
      <c r="F30" s="428" t="str">
        <f ca="1">_xlfn.IFNA(VLOOKUP("0-1-0-"&amp;I30,Data!$W:$X,2,FALSE),"")</f>
        <v>SITUATION-2a</v>
      </c>
      <c r="G30" s="1282" t="str">
        <f ca="1">IFERROR("("&amp;VLOOKUP("0-1-0-"&amp;I30,Data!$W:$X,2,FALSE)&amp;") "&amp;IF(VLOOKUP(F30,Languages!$A:$D,1,TRUE)=F30,VLOOKUP(F30,Languages!$A:$D,Summary!$C$7,TRUE),NA()),"")</f>
        <v>(SITUATION-2a) Lokitietojen tarkastelua ja muuta kyberturvallisuusvalvontaa tehdään. Tasolla 1 tämän ei tarvitse olla systemaattista ja säännöllistä.</v>
      </c>
      <c r="H30" s="1282"/>
      <c r="I30" s="58">
        <v>46</v>
      </c>
      <c r="J30" s="31"/>
      <c r="K30" s="26"/>
      <c r="L30" s="46"/>
      <c r="M30" s="77"/>
      <c r="N30" s="77"/>
      <c r="O30" s="77"/>
    </row>
    <row r="31" spans="1:15" s="17" customFormat="1" ht="49.95" customHeight="1" x14ac:dyDescent="0.25">
      <c r="A31" s="26"/>
      <c r="B31" s="59">
        <v>47</v>
      </c>
      <c r="C31" s="60" t="str">
        <f ca="1">_xlfn.IFNA(VLOOKUP("0-1-0-"&amp;B31,Data!$W:$X,2,FALSE),"")</f>
        <v>SITUATION-2b</v>
      </c>
      <c r="D31" s="1282" t="str">
        <f ca="1">IFERROR("("&amp;VLOOKUP("0-1-0-"&amp;B31,Data!$W:$X,2,FALSE)&amp;") "&amp;IF(VLOOKUP(C31,Languages!$A:$D,1,TRUE)=C31,VLOOKUP(C31,Languages!$A:$D,Summary!$C$7,TRUE),NA()),"")</f>
        <v>(SITUATION-2b) IT- ja OT-ympäristöjen valvontatietoja katselmoidaan säännöllisesti poikkeavan toiminnan ja mahdollisten kybertapahtumien varalta (ainakin tapauskohtaisesti). Tasolla 1 tämän ei tarvitse olla systemaattista.</v>
      </c>
      <c r="E31" s="1282"/>
      <c r="F31" s="428" t="str">
        <f ca="1">_xlfn.IFNA(VLOOKUP("0-1-0-"&amp;I31,Data!$W:$X,2,FALSE),"")</f>
        <v>THIRD-PARTIES-1a</v>
      </c>
      <c r="G31" s="1282" t="str">
        <f ca="1">IFERROR("("&amp;VLOOKUP("0-1-0-"&amp;I31,Data!$W:$X,2,FALSE)&amp;") "&amp;IF(VLOOKUP(F31,Languages!$A:$D,1,TRUE)=F31,VLOOKUP(F31,Languages!$A:$D,Summary!$C$7,TRUE),NA()),"")</f>
        <v>(THIRD-PARTIES-1a) 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H31" s="1282"/>
      <c r="I31" s="58">
        <v>48</v>
      </c>
      <c r="J31" s="31"/>
      <c r="K31" s="26"/>
      <c r="L31" s="46"/>
      <c r="M31" s="77"/>
      <c r="N31" s="77"/>
      <c r="O31" s="77"/>
    </row>
    <row r="32" spans="1:15" s="17" customFormat="1" ht="49.95" customHeight="1" x14ac:dyDescent="0.25">
      <c r="A32" s="26"/>
      <c r="B32" s="59">
        <v>49</v>
      </c>
      <c r="C32" s="60" t="str">
        <f ca="1">_xlfn.IFNA(VLOOKUP("0-1-0-"&amp;B32,Data!$W:$X,2,FALSE),"")</f>
        <v>THIRD-PARTIES-1b</v>
      </c>
      <c r="D32" s="1282" t="str">
        <f ca="1">IFERROR("("&amp;VLOOKUP("0-1-0-"&amp;B32,Data!$W:$X,2,FALSE)&amp;") "&amp;IF(VLOOKUP(C32,Languages!$A:$D,1,TRUE)=C32,VLOOKUP(C32,Languages!$A:$D,Summary!$C$7,TRUE),NA()),"")</f>
        <v>(THIRD-PARTIES-1b) 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2" s="1282"/>
      <c r="F32" s="428" t="str">
        <f ca="1">_xlfn.IFNA(VLOOKUP("0-1-0-"&amp;I32,Data!$W:$X,2,FALSE),"")</f>
        <v>THIRD-PARTIES-2a</v>
      </c>
      <c r="G32" s="1282" t="str">
        <f ca="1">IFERROR("("&amp;VLOOKUP("0-1-0-"&amp;I32,Data!$W:$X,2,FALSE)&amp;") "&amp;IF(VLOOKUP(F32,Languages!$A:$D,1,TRUE)=F32,VLOOKUP(F32,Languages!$A:$D,Summary!$C$7,TRUE),NA()),"")</f>
        <v>(THIRD-PARTIES-2a) Toimittajien ja muiden kumppaniverkoston toimijoiden valintaan vaikuttaa arvio niiden kyberturvallisuuskelpoisuuksista. Tasolla 1 tämän ei tarvitse olla systemaattista ja säännöllistä.</v>
      </c>
      <c r="H32" s="1282"/>
      <c r="I32" s="58">
        <v>50</v>
      </c>
      <c r="J32" s="31"/>
      <c r="K32" s="26"/>
      <c r="L32" s="46"/>
      <c r="M32" s="77"/>
      <c r="N32" s="77"/>
      <c r="O32" s="77"/>
    </row>
    <row r="33" spans="1:15" s="17" customFormat="1" ht="49.95" customHeight="1" x14ac:dyDescent="0.25">
      <c r="A33" s="26"/>
      <c r="B33" s="59">
        <v>51</v>
      </c>
      <c r="C33" s="60" t="str">
        <f ca="1">_xlfn.IFNA(VLOOKUP("0-1-0-"&amp;B33,Data!$W:$X,2,FALSE),"")</f>
        <v>THIRD-PARTIES-2b</v>
      </c>
      <c r="D33" s="1282" t="str">
        <f ca="1">IFERROR("("&amp;VLOOKUP("0-1-0-"&amp;B33,Data!$W:$X,2,FALSE)&amp;") "&amp;IF(VLOOKUP(C33,Languages!$A:$D,1,TRUE)=C33,VLOOKUP(C33,Languages!$A:$D,Summary!$C$7,TRUE),NA()),"")</f>
        <v>(THIRD-PARTIES-2b) Tuotteiden ja palveluiden valintaan vaikuttaa arvio niiden kyberkyvykkyyksistä. Tasolla 1 tämän ei tarvitse olla systemaattista ja säännöllistä.</v>
      </c>
      <c r="E33" s="1282"/>
      <c r="F33" s="428" t="str">
        <f ca="1">_xlfn.IFNA(VLOOKUP("0-1-0-"&amp;I33,Data!$W:$X,2,FALSE),"")</f>
        <v>THREAT-1a</v>
      </c>
      <c r="G33" s="1282" t="str">
        <f ca="1">IFERROR("("&amp;VLOOKUP("0-1-0-"&amp;I33,Data!$W:$X,2,FALSE)&amp;") "&amp;IF(VLOOKUP(F33,Languages!$A:$D,1,TRUE)=F33,VLOOKUP(F33,Languages!$A:$D,Summary!$C$7,TRUE),NA()),"")</f>
        <v>(THREAT-1a) Haavoittuvuuksien tunnistamisen tueksi on tunnistettu soveltuvia tietolähteitä. Tasolla 1 tämän ei tarvitse olla systemaattista ja säännöllistä.</v>
      </c>
      <c r="H33" s="1282"/>
      <c r="I33" s="58">
        <v>52</v>
      </c>
      <c r="J33" s="31"/>
      <c r="K33" s="26"/>
      <c r="L33" s="46"/>
      <c r="M33" s="77"/>
      <c r="N33" s="77"/>
      <c r="O33" s="77"/>
    </row>
    <row r="34" spans="1:15" s="17" customFormat="1" ht="49.95" customHeight="1" x14ac:dyDescent="0.25">
      <c r="A34" s="26"/>
      <c r="B34" s="59">
        <v>53</v>
      </c>
      <c r="C34" s="60" t="str">
        <f ca="1">_xlfn.IFNA(VLOOKUP("0-1-0-"&amp;B34,Data!$W:$X,2,FALSE),"")</f>
        <v>THREAT-1b</v>
      </c>
      <c r="D34" s="1282" t="str">
        <f ca="1">IFERROR("("&amp;VLOOKUP("0-1-0-"&amp;B34,Data!$W:$X,2,FALSE)&amp;") "&amp;IF(VLOOKUP(C34,Languages!$A:$D,1,TRUE)=C34,VLOOKUP(C34,Languages!$A:$D,Summary!$C$7,TRUE),NA()),"")</f>
        <v>(THREAT-1b) Haavoittuvuustietoa kerätään ja sitä tulkitaan toimintoa varten. Tasolla 1 tämän ei tarvitse olla systemaattista ja säännöllistä.</v>
      </c>
      <c r="E34" s="1282"/>
      <c r="F34" s="428" t="str">
        <f ca="1">_xlfn.IFNA(VLOOKUP("0-1-0-"&amp;I34,Data!$W:$X,2,FALSE),"")</f>
        <v>THREAT-1c</v>
      </c>
      <c r="G34" s="1282" t="str">
        <f ca="1">IFERROR("("&amp;VLOOKUP("0-1-0-"&amp;I34,Data!$W:$X,2,FALSE)&amp;") "&amp;IF(VLOOKUP(F34,Languages!$A:$D,1,TRUE)=F34,VLOOKUP(F34,Languages!$A:$D,Summary!$C$7,TRUE),NA()),"")</f>
        <v>(THREAT-1c) Haavoittuvuusarviointeja suoritetaan. Tasolla 1 tämän ei tarvitse olla systemaattista ja säännöllistä.</v>
      </c>
      <c r="H34" s="1282"/>
      <c r="I34" s="58">
        <v>54</v>
      </c>
      <c r="J34" s="31"/>
      <c r="K34" s="26"/>
      <c r="L34" s="46"/>
      <c r="M34" s="77"/>
      <c r="N34" s="77"/>
      <c r="O34" s="77"/>
    </row>
    <row r="35" spans="1:15" s="17" customFormat="1" ht="49.95" customHeight="1" x14ac:dyDescent="0.25">
      <c r="A35" s="26"/>
      <c r="B35" s="59">
        <v>55</v>
      </c>
      <c r="C35" s="60" t="str">
        <f ca="1">_xlfn.IFNA(VLOOKUP("0-1-0-"&amp;B35,Data!$W:$X,2,FALSE),"")</f>
        <v>THREAT-1d</v>
      </c>
      <c r="D35" s="1282" t="str">
        <f ca="1">IFERROR("("&amp;VLOOKUP("0-1-0-"&amp;B35,Data!$W:$X,2,FALSE)&amp;") "&amp;IF(VLOOKUP(C35,Languages!$A:$D,1,TRUE)=C35,VLOOKUP(C35,Languages!$A:$D,Summary!$C$7,TRUE),NA()),"")</f>
        <v>(THREAT-1d) Toiminnon kannalta olennaisiin haavoittuvuuksiin puututaan (esimerkiksi lisäämällä valvontaa tai asentamalla korjauspäivityksiä). Tasolla 1 tämän ei tarvitse olla systemaattista ja säännöllistä.</v>
      </c>
      <c r="E35" s="1282"/>
      <c r="F35" s="428" t="str">
        <f ca="1">_xlfn.IFNA(VLOOKUP("0-1-0-"&amp;I35,Data!$W:$X,2,FALSE),"")</f>
        <v>THREAT-2a</v>
      </c>
      <c r="G35" s="1282" t="str">
        <f ca="1">IFERROR("("&amp;VLOOKUP("0-1-0-"&amp;I35,Data!$W:$X,2,FALSE)&amp;") "&amp;IF(VLOOKUP(F35,Languages!$A:$D,1,TRUE)=F35,VLOOKUP(F35,Languages!$A:$D,Summary!$C$7,TRUE),NA()),"")</f>
        <v>(THREAT-2a) Uhkien tunnistamisen tueksi on tunnistettu soveltuvia tietolähteitä. Tasolla 1 tämän ei tarvitse olla systemaattista ja säännöllistä.</v>
      </c>
      <c r="H35" s="1282"/>
      <c r="I35" s="58">
        <v>56</v>
      </c>
      <c r="J35" s="31"/>
      <c r="K35" s="26"/>
      <c r="L35" s="46"/>
      <c r="M35" s="77"/>
      <c r="N35" s="77"/>
      <c r="O35" s="77"/>
    </row>
    <row r="36" spans="1:15" s="17" customFormat="1" ht="49.95" customHeight="1" x14ac:dyDescent="0.25">
      <c r="A36" s="26"/>
      <c r="B36" s="59">
        <v>57</v>
      </c>
      <c r="C36" s="60" t="str">
        <f ca="1">_xlfn.IFNA(VLOOKUP("0-1-0-"&amp;B36,Data!$W:$X,2,FALSE),"")</f>
        <v>THREAT-2b</v>
      </c>
      <c r="D36" s="1282" t="str">
        <f ca="1">IFERROR("("&amp;VLOOKUP("0-1-0-"&amp;B36,Data!$W:$X,2,FALSE)&amp;") "&amp;IF(VLOOKUP(C36,Languages!$A:$D,1,TRUE)=C36,VLOOKUP(C36,Languages!$A:$D,Summary!$C$7,TRUE),NA()),"")</f>
        <v>(THREAT-2b) Kyberuhkatietoa kerätään ja sitä tulkitaan toimintoa varten vähintäänkin tapauskohtaisesti (ad hoc). Tasolla 1 tämän ei tarvitse olla systemaattista ja säännöllistä.</v>
      </c>
      <c r="E36" s="1282"/>
      <c r="F36" s="428" t="str">
        <f ca="1">_xlfn.IFNA(VLOOKUP("0-1-0-"&amp;I36,Data!$W:$X,2,FALSE),"")</f>
        <v>THREAT-2c</v>
      </c>
      <c r="G36" s="1282" t="str">
        <f ca="1">IFERROR("("&amp;VLOOKUP("0-1-0-"&amp;I36,Data!$W:$X,2,FALSE)&amp;") "&amp;IF(VLOOKUP(F36,Languages!$A:$D,1,TRUE)=F36,VLOOKUP(F36,Languages!$A:$D,Summary!$C$7,TRUE),NA()),"")</f>
        <v xml:space="preserve">(THREAT-2c) Toimintoon kohdistuvat uhkatoimijoiden tavoitteet on tunnistettu ainakin tapauskohtaisesti. Tasolla 1 tämän ei tarvitse olla systemaattista ja säännöllistä. </v>
      </c>
      <c r="H36" s="1282"/>
      <c r="I36" s="58">
        <v>58</v>
      </c>
      <c r="J36" s="31"/>
      <c r="K36" s="26"/>
      <c r="L36" s="46"/>
      <c r="M36" s="77"/>
      <c r="N36" s="77"/>
      <c r="O36" s="77"/>
    </row>
    <row r="37" spans="1:15" s="17" customFormat="1" ht="49.95" customHeight="1" x14ac:dyDescent="0.25">
      <c r="A37" s="26"/>
      <c r="B37" s="59">
        <v>59</v>
      </c>
      <c r="C37" s="60" t="str">
        <f ca="1">_xlfn.IFNA(VLOOKUP("0-1-0-"&amp;B37,Data!$W:$X,2,FALSE),"")</f>
        <v>THREAT-2d</v>
      </c>
      <c r="D37" s="1282" t="str">
        <f ca="1">IFERROR("("&amp;VLOOKUP("0-1-0-"&amp;B37,Data!$W:$X,2,FALSE)&amp;") "&amp;IF(VLOOKUP(C37,Languages!$A:$D,1,TRUE)=C37,VLOOKUP(C37,Languages!$A:$D,Summary!$C$7,TRUE),NA()),"")</f>
        <v>(THREAT-2d) Toiminnon kannalta olennaisiin uhkiin puututaan (esimerkiksi lisäämällä valvontaa tai seuraamalla uhkien kehitystä). Tasolla 1 tämän ei tarvitse olla systemaattista ja säännöllistä.</v>
      </c>
      <c r="E37" s="1282"/>
      <c r="F37" s="428" t="str">
        <f ca="1">_xlfn.IFNA(VLOOKUP("0-1-0-"&amp;I37,Data!$W:$X,2,FALSE),"")</f>
        <v>WORKFORCE-1a</v>
      </c>
      <c r="G37" s="1282" t="str">
        <f ca="1">IFERROR("("&amp;VLOOKUP("0-1-0-"&amp;I37,Data!$W:$X,2,FALSE)&amp;") "&amp;IF(VLOOKUP(F37,Languages!$A:$D,1,TRUE)=F37,VLOOKUP(F37,Languages!$A:$D,Summary!$C$7,TRUE),NA()),"")</f>
        <v>(WORKFORCE-1a) Erilaisia tarkastuksia (esimerkiksi taustojen tarkistuksia, huumetestejä) suoritetaan uusia työntekijöitä palkatessa. Tasolla 1 tämän ei tarvitse olla systemaattista ja säännöllistä.</v>
      </c>
      <c r="H37" s="1282"/>
      <c r="I37" s="58">
        <v>60</v>
      </c>
      <c r="J37" s="31"/>
      <c r="K37" s="26"/>
      <c r="L37" s="46"/>
      <c r="M37" s="77"/>
      <c r="N37" s="77"/>
      <c r="O37" s="77"/>
    </row>
    <row r="38" spans="1:15" s="17" customFormat="1" ht="49.95" customHeight="1" x14ac:dyDescent="0.25">
      <c r="A38" s="26"/>
      <c r="B38" s="59">
        <v>61</v>
      </c>
      <c r="C38" s="60" t="str">
        <f ca="1">_xlfn.IFNA(VLOOKUP("0-1-0-"&amp;B38,Data!$W:$X,2,FALSE),"")</f>
        <v>WORKFORCE-1b</v>
      </c>
      <c r="D38" s="1282" t="str">
        <f ca="1">IFERROR("("&amp;VLOOKUP("0-1-0-"&amp;B38,Data!$W:$X,2,FALSE)&amp;") "&amp;IF(VLOOKUP(C38,Languages!$A:$D,1,TRUE)=C38,VLOOKUP(C38,Languages!$A:$D,Summary!$C$7,TRUE),NA()),"")</f>
        <v>(WORKFORCE-1b) Työsuhteen päättymiseen liittyvissä menettelyissä huomioidaan kyberturvallisuus. Tasolla 1 tämän ei tarvitse olla systemaattista ja säännöllistä.</v>
      </c>
      <c r="E38" s="1282"/>
      <c r="F38" s="428" t="str">
        <f ca="1">_xlfn.IFNA(VLOOKUP("0-1-0-"&amp;I38,Data!$W:$X,2,FALSE),"")</f>
        <v>WORKFORCE-2a</v>
      </c>
      <c r="G38" s="1282" t="str">
        <f ca="1">IFERROR("("&amp;VLOOKUP("0-1-0-"&amp;I38,Data!$W:$X,2,FALSE)&amp;") "&amp;IF(VLOOKUP(F38,Languages!$A:$D,1,TRUE)=F38,VLOOKUP(F38,Languages!$A:$D,Summary!$C$7,TRUE),NA()),"")</f>
        <v>(WORKFORCE-2a) Henkilöstön kyberturvallisuustietoisuutta kohotetaan erilaisin toimin. Tasolla 1 tämän ei tarvitse olla systemaattista ja säännöllistä.</v>
      </c>
      <c r="H38" s="1282"/>
      <c r="I38" s="58">
        <v>62</v>
      </c>
      <c r="J38" s="31"/>
      <c r="K38" s="26"/>
      <c r="L38" s="46"/>
      <c r="M38" s="77"/>
      <c r="N38" s="77"/>
      <c r="O38" s="77"/>
    </row>
    <row r="39" spans="1:15" s="17" customFormat="1" ht="49.95" customHeight="1" x14ac:dyDescent="0.25">
      <c r="A39" s="26"/>
      <c r="B39" s="59">
        <v>63</v>
      </c>
      <c r="C39" s="60" t="str">
        <f ca="1">_xlfn.IFNA(VLOOKUP("0-1-0-"&amp;B39,Data!$W:$X,2,FALSE),"")</f>
        <v>WORKFORCE-3a</v>
      </c>
      <c r="D39" s="1282" t="str">
        <f ca="1">IFERROR("("&amp;VLOOKUP("0-1-0-"&amp;B39,Data!$W:$X,2,FALSE)&amp;") "&amp;IF(VLOOKUP(C39,Languages!$A:$D,1,TRUE)=C39,VLOOKUP(C39,Languages!$A:$D,Summary!$C$7,TRUE),NA()),"")</f>
        <v>(WORKFORCE-3a) Toiminnon kyberturvallisuuteen liittyvät vastuut on tunnistettu. Tasolla 1 tämän ei tarvitse olla systemaattista ja säännöllistä.</v>
      </c>
      <c r="E39" s="1282"/>
      <c r="F39" s="428" t="str">
        <f ca="1">_xlfn.IFNA(VLOOKUP("0-1-0-"&amp;I39,Data!$W:$X,2,FALSE),"")</f>
        <v>WORKFORCE-3b</v>
      </c>
      <c r="G39" s="1282" t="str">
        <f ca="1">IFERROR("("&amp;VLOOKUP("0-1-0-"&amp;I39,Data!$W:$X,2,FALSE)&amp;") "&amp;IF(VLOOKUP(F39,Languages!$A:$D,1,TRUE)=F39,VLOOKUP(F39,Languages!$A:$D,Summary!$C$7,TRUE),NA()),"")</f>
        <v>(WORKFORCE-3b) Kyberturvallisuuteen liittyvät vastuut on osoitettu nimetyille henkilöille. Tasolla 1 tämän ei tarvitse olla systemaattista ja säännöllistä.</v>
      </c>
      <c r="H39" s="1282"/>
      <c r="I39" s="58">
        <v>64</v>
      </c>
      <c r="J39" s="31"/>
      <c r="K39" s="26"/>
      <c r="L39" s="46"/>
      <c r="M39" s="77"/>
      <c r="N39" s="77"/>
      <c r="O39" s="77"/>
    </row>
    <row r="40" spans="1:15" s="13" customFormat="1" ht="15" customHeight="1" x14ac:dyDescent="0.25">
      <c r="A40" s="12"/>
      <c r="B40" s="14"/>
      <c r="C40" s="18"/>
      <c r="D40" s="18"/>
      <c r="E40" s="50"/>
      <c r="F40" s="19"/>
      <c r="G40" s="19"/>
      <c r="H40" s="19"/>
      <c r="I40" s="19"/>
      <c r="J40" s="15"/>
      <c r="K40" s="12"/>
      <c r="L40" s="46"/>
      <c r="M40" s="77"/>
      <c r="N40" s="77"/>
      <c r="O40" s="77"/>
    </row>
    <row r="41" spans="1:15" s="13" customFormat="1" ht="18" customHeight="1" x14ac:dyDescent="0.25">
      <c r="A41" s="12"/>
      <c r="B41" s="12"/>
      <c r="C41" s="12"/>
      <c r="D41" s="16"/>
      <c r="E41" s="16"/>
      <c r="F41" s="12"/>
      <c r="G41" s="12"/>
      <c r="H41" s="12"/>
      <c r="I41" s="12"/>
      <c r="J41" s="12"/>
      <c r="K41" s="12"/>
      <c r="L41" s="46"/>
      <c r="M41" s="77"/>
      <c r="N41" s="77"/>
      <c r="O41" s="77"/>
    </row>
  </sheetData>
  <sheetProtection sheet="1" formatCells="0" formatColumns="0" formatRows="0"/>
  <mergeCells count="66">
    <mergeCell ref="N4:N12"/>
    <mergeCell ref="D10:E10"/>
    <mergeCell ref="G10:H10"/>
    <mergeCell ref="D11:E11"/>
    <mergeCell ref="G11:H11"/>
    <mergeCell ref="D6:H6"/>
    <mergeCell ref="D8:E8"/>
    <mergeCell ref="G8:H8"/>
    <mergeCell ref="D9:E9"/>
    <mergeCell ref="G9:H9"/>
    <mergeCell ref="D12:E12"/>
    <mergeCell ref="G12:H12"/>
    <mergeCell ref="D13:E13"/>
    <mergeCell ref="G13:H13"/>
    <mergeCell ref="D27:E27"/>
    <mergeCell ref="G27:H27"/>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5:E25"/>
    <mergeCell ref="G25:H25"/>
    <mergeCell ref="D26:E26"/>
    <mergeCell ref="G26:H26"/>
    <mergeCell ref="D22:E22"/>
    <mergeCell ref="G22:H22"/>
    <mergeCell ref="D23:E23"/>
    <mergeCell ref="G23:H23"/>
    <mergeCell ref="D24:E24"/>
    <mergeCell ref="G24:H24"/>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s>
  <pageMargins left="0.70866141732283472" right="0.70866141732283472" top="0.74803149606299213" bottom="0.74803149606299213" header="0.31496062992125984" footer="0.31496062992125984"/>
  <pageSetup paperSize="9" scale="47" orientation="portrait" r:id="rId1"/>
  <rowBreaks count="1" manualBreakCount="1">
    <brk id="2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7"/>
  <sheetViews>
    <sheetView zoomScale="98" zoomScaleNormal="98" workbookViewId="0">
      <selection activeCell="D20" sqref="D20"/>
    </sheetView>
  </sheetViews>
  <sheetFormatPr defaultColWidth="8.7265625" defaultRowHeight="13.8" x14ac:dyDescent="0.25"/>
  <cols>
    <col min="1" max="1" width="2.6328125" style="595" customWidth="1"/>
    <col min="2" max="2" width="3.7265625" style="595" customWidth="1"/>
    <col min="3" max="3" width="18.1796875" style="595" customWidth="1"/>
    <col min="4" max="4" width="12.54296875" style="595" customWidth="1"/>
    <col min="5" max="5" width="65.453125" style="595" customWidth="1"/>
    <col min="6" max="6" width="3.6328125" style="595" customWidth="1"/>
    <col min="7" max="7" width="2.6328125" style="595" customWidth="1"/>
    <col min="8" max="8" width="8.7265625" style="595"/>
    <col min="9" max="9" width="2.6328125" style="595" customWidth="1"/>
    <col min="10" max="10" width="80.6328125" style="595" customWidth="1"/>
    <col min="11" max="11" width="2.54296875" style="595" customWidth="1"/>
    <col min="12" max="16384" width="8.7265625" style="595"/>
  </cols>
  <sheetData>
    <row r="1" spans="1:11" x14ac:dyDescent="0.25">
      <c r="A1" s="135"/>
      <c r="B1" s="135"/>
      <c r="C1" s="135"/>
      <c r="D1" s="135"/>
      <c r="E1" s="135"/>
      <c r="F1" s="135"/>
      <c r="G1" s="135"/>
      <c r="I1" s="3"/>
      <c r="J1" s="3"/>
      <c r="K1" s="3"/>
    </row>
    <row r="2" spans="1:11" x14ac:dyDescent="0.25">
      <c r="A2" s="252"/>
      <c r="B2" s="723"/>
      <c r="C2" s="724" t="s">
        <v>1966</v>
      </c>
      <c r="D2" s="724" t="s">
        <v>1967</v>
      </c>
      <c r="E2" s="724" t="s">
        <v>1968</v>
      </c>
      <c r="F2" s="725"/>
      <c r="G2" s="252"/>
      <c r="I2" s="6"/>
      <c r="J2" s="829" t="s">
        <v>1956</v>
      </c>
      <c r="K2" s="6"/>
    </row>
    <row r="3" spans="1:11" s="793" customFormat="1" ht="22.95" customHeight="1" thickBot="1" x14ac:dyDescent="0.3">
      <c r="A3" s="135"/>
      <c r="B3" s="790"/>
      <c r="C3" s="791" t="str">
        <f>IF(VLOOKUP(C2,Languages!$A:$D,1,TRUE)=C2,VLOOKUP(C2,Languages!$A:$D,Summary!$C$7,TRUE),NA())</f>
        <v>Nimi</v>
      </c>
      <c r="D3" s="791" t="str">
        <f>IF(VLOOKUP(D2,Languages!$A:$D,1,TRUE)=D2,VLOOKUP(D2,Languages!$A:$D,Summary!$C$7,TRUE),NA())</f>
        <v>Päiväys</v>
      </c>
      <c r="E3" s="791" t="str">
        <f>IF(VLOOKUP(E2,Languages!$A:$D,1,TRUE)=E2,VLOOKUP(E2,Languages!$A:$D,Summary!$C$7,TRUE),NA())</f>
        <v>Kommentit</v>
      </c>
      <c r="F3" s="792"/>
      <c r="G3" s="135"/>
      <c r="I3" s="3"/>
      <c r="J3" s="830"/>
      <c r="K3" s="6"/>
    </row>
    <row r="4" spans="1:11" x14ac:dyDescent="0.25">
      <c r="A4" s="166"/>
      <c r="B4" s="726"/>
      <c r="C4" s="732"/>
      <c r="D4" s="732"/>
      <c r="E4" s="732"/>
      <c r="F4" s="727"/>
      <c r="G4" s="274"/>
      <c r="I4" s="3"/>
      <c r="J4" s="1144" t="s">
        <v>2596</v>
      </c>
      <c r="K4" s="6"/>
    </row>
    <row r="5" spans="1:11" s="737" customFormat="1" ht="19.95" customHeight="1" x14ac:dyDescent="0.25">
      <c r="A5" s="733"/>
      <c r="B5" s="734"/>
      <c r="C5" s="738"/>
      <c r="D5" s="739"/>
      <c r="E5" s="740"/>
      <c r="F5" s="735"/>
      <c r="G5" s="736"/>
      <c r="I5" s="3"/>
      <c r="J5" s="1144"/>
      <c r="K5" s="6"/>
    </row>
    <row r="6" spans="1:11" s="737" customFormat="1" ht="19.95" customHeight="1" x14ac:dyDescent="0.25">
      <c r="A6" s="733"/>
      <c r="B6" s="734"/>
      <c r="C6" s="738"/>
      <c r="D6" s="741"/>
      <c r="E6" s="740"/>
      <c r="F6" s="735"/>
      <c r="G6" s="736"/>
      <c r="I6" s="3"/>
      <c r="J6" s="1144"/>
      <c r="K6" s="6"/>
    </row>
    <row r="7" spans="1:11" s="737" customFormat="1" ht="19.95" customHeight="1" x14ac:dyDescent="0.25">
      <c r="A7" s="733"/>
      <c r="B7" s="734"/>
      <c r="C7" s="738"/>
      <c r="D7" s="741"/>
      <c r="E7" s="740"/>
      <c r="F7" s="735"/>
      <c r="G7" s="736"/>
      <c r="I7" s="3"/>
      <c r="J7" s="1144"/>
      <c r="K7" s="6"/>
    </row>
    <row r="8" spans="1:11" s="737" customFormat="1" ht="19.95" customHeight="1" x14ac:dyDescent="0.25">
      <c r="A8" s="733"/>
      <c r="B8" s="734"/>
      <c r="C8" s="738"/>
      <c r="D8" s="741"/>
      <c r="E8" s="740"/>
      <c r="F8" s="735"/>
      <c r="G8" s="736"/>
      <c r="I8" s="12"/>
      <c r="J8" s="1145"/>
      <c r="K8" s="12"/>
    </row>
    <row r="9" spans="1:11" s="737" customFormat="1" ht="19.95" customHeight="1" x14ac:dyDescent="0.25">
      <c r="A9" s="733"/>
      <c r="B9" s="734"/>
      <c r="C9" s="738"/>
      <c r="D9" s="741"/>
      <c r="E9" s="740"/>
      <c r="F9" s="735"/>
      <c r="G9" s="736"/>
      <c r="I9" s="12"/>
      <c r="J9" s="12"/>
      <c r="K9" s="12"/>
    </row>
    <row r="10" spans="1:11" s="737" customFormat="1" ht="19.95" customHeight="1" x14ac:dyDescent="0.25">
      <c r="A10" s="733"/>
      <c r="B10" s="734"/>
      <c r="C10" s="738"/>
      <c r="D10" s="741"/>
      <c r="E10" s="740"/>
      <c r="F10" s="735"/>
      <c r="G10" s="736"/>
    </row>
    <row r="11" spans="1:11" s="737" customFormat="1" ht="19.95" customHeight="1" x14ac:dyDescent="0.25">
      <c r="A11" s="733"/>
      <c r="B11" s="734"/>
      <c r="C11" s="738"/>
      <c r="D11" s="741"/>
      <c r="E11" s="740"/>
      <c r="F11" s="735"/>
      <c r="G11" s="736"/>
    </row>
    <row r="12" spans="1:11" s="737" customFormat="1" ht="19.95" customHeight="1" x14ac:dyDescent="0.25">
      <c r="A12" s="733"/>
      <c r="B12" s="734"/>
      <c r="C12" s="738"/>
      <c r="D12" s="741"/>
      <c r="E12" s="740"/>
      <c r="F12" s="735"/>
      <c r="G12" s="736"/>
    </row>
    <row r="13" spans="1:11" s="737" customFormat="1" ht="19.95" customHeight="1" x14ac:dyDescent="0.25">
      <c r="A13" s="733"/>
      <c r="B13" s="734"/>
      <c r="C13" s="738"/>
      <c r="D13" s="741"/>
      <c r="E13" s="740"/>
      <c r="F13" s="735"/>
      <c r="G13" s="736"/>
    </row>
    <row r="14" spans="1:11" s="737" customFormat="1" ht="19.95" customHeight="1" x14ac:dyDescent="0.25">
      <c r="A14" s="733"/>
      <c r="B14" s="734"/>
      <c r="C14" s="738"/>
      <c r="D14" s="741"/>
      <c r="E14" s="740"/>
      <c r="F14" s="735"/>
      <c r="G14" s="736"/>
    </row>
    <row r="15" spans="1:11" s="737" customFormat="1" ht="19.95" customHeight="1" x14ac:dyDescent="0.25">
      <c r="A15" s="733"/>
      <c r="B15" s="734"/>
      <c r="C15" s="738"/>
      <c r="D15" s="741"/>
      <c r="E15" s="740"/>
      <c r="F15" s="735"/>
      <c r="G15" s="736"/>
    </row>
    <row r="16" spans="1:11" x14ac:dyDescent="0.25">
      <c r="A16" s="236"/>
      <c r="B16" s="728"/>
      <c r="C16" s="729"/>
      <c r="D16" s="730"/>
      <c r="E16" s="730"/>
      <c r="F16" s="731"/>
      <c r="G16" s="236"/>
    </row>
    <row r="17" spans="1:7" x14ac:dyDescent="0.25">
      <c r="A17" s="236"/>
      <c r="B17" s="236"/>
      <c r="C17" s="236"/>
      <c r="D17" s="236"/>
      <c r="E17" s="236"/>
      <c r="F17" s="236"/>
      <c r="G17" s="236"/>
    </row>
  </sheetData>
  <sheetProtection sheet="1" objects="1" scenarios="1"/>
  <mergeCells count="1">
    <mergeCell ref="J4:J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AA15"/>
  <sheetViews>
    <sheetView showGridLines="0" zoomScale="80" zoomScaleNormal="80" workbookViewId="0"/>
  </sheetViews>
  <sheetFormatPr defaultColWidth="9.26953125" defaultRowHeight="11.4" x14ac:dyDescent="0.25"/>
  <cols>
    <col min="1" max="2" width="1.6328125" style="5" customWidth="1"/>
    <col min="3" max="3" width="2.6328125" style="5" customWidth="1"/>
    <col min="4" max="4" width="51.81640625" style="13" customWidth="1"/>
    <col min="5" max="11" width="8.6328125" style="47" customWidth="1"/>
    <col min="12" max="14" width="8.6328125" style="5" customWidth="1"/>
    <col min="15" max="15" width="2.6328125" style="5" customWidth="1"/>
    <col min="16" max="16" width="1.6328125" style="5" customWidth="1"/>
    <col min="17" max="17" width="1.6328125" style="13" customWidth="1"/>
    <col min="18" max="18" width="1.6328125" style="46" customWidth="1"/>
    <col min="19" max="19" width="9.26953125" style="77"/>
    <col min="20" max="20" width="1.6328125" style="77" customWidth="1"/>
    <col min="21" max="21" width="80.6328125" style="77" customWidth="1"/>
    <col min="22" max="22" width="1.6328125" style="5" customWidth="1"/>
    <col min="23" max="16384" width="9.26953125" style="5"/>
  </cols>
  <sheetData>
    <row r="1" spans="1:27" ht="13.5" customHeight="1" x14ac:dyDescent="0.25">
      <c r="A1" s="3"/>
      <c r="B1" s="3"/>
      <c r="C1" s="3"/>
      <c r="D1" s="4"/>
      <c r="E1" s="4"/>
      <c r="F1" s="4"/>
      <c r="G1" s="4"/>
      <c r="H1" s="4"/>
      <c r="I1" s="4"/>
      <c r="J1" s="4"/>
      <c r="K1" s="4"/>
      <c r="L1" s="3"/>
      <c r="M1" s="3"/>
      <c r="N1" s="3"/>
      <c r="O1" s="3"/>
      <c r="P1" s="3"/>
      <c r="Q1" s="3"/>
      <c r="R1" s="43"/>
      <c r="T1" s="754"/>
      <c r="U1" s="754"/>
      <c r="V1" s="755"/>
    </row>
    <row r="2" spans="1:27" s="9" customFormat="1" ht="18" customHeight="1" x14ac:dyDescent="0.25">
      <c r="A2" s="6"/>
      <c r="B2" s="7"/>
      <c r="C2" s="35"/>
      <c r="D2" s="35"/>
      <c r="E2" s="49"/>
      <c r="F2" s="49"/>
      <c r="G2" s="49"/>
      <c r="H2" s="49"/>
      <c r="I2" s="49"/>
      <c r="J2" s="49"/>
      <c r="K2" s="49"/>
      <c r="L2" s="35"/>
      <c r="M2" s="35"/>
      <c r="N2" s="35"/>
      <c r="O2" s="35"/>
      <c r="P2" s="8"/>
      <c r="Q2" s="6"/>
      <c r="R2" s="44"/>
      <c r="S2" s="78"/>
      <c r="T2" s="754"/>
      <c r="U2" s="827" t="s">
        <v>1956</v>
      </c>
      <c r="V2" s="755"/>
    </row>
    <row r="3" spans="1:27" ht="26.4" customHeight="1" x14ac:dyDescent="0.25">
      <c r="A3" s="3"/>
      <c r="B3" s="10"/>
      <c r="D3" s="72" t="s">
        <v>420</v>
      </c>
      <c r="F3" s="756" t="s">
        <v>1955</v>
      </c>
      <c r="G3" s="757" t="str">
        <f>Parameters!$B$18</f>
        <v xml:space="preserve">0 - Vastaus puuttuu </v>
      </c>
      <c r="H3" s="758" t="str">
        <f>Parameters!$B$19</f>
        <v>1 - Ei toteutettu tai ei tietoa</v>
      </c>
      <c r="I3" s="759" t="str">
        <f>Parameters!$B$20</f>
        <v>2 - Osittain toteutettu</v>
      </c>
      <c r="J3" s="760" t="str">
        <f>Parameters!$B$21</f>
        <v>3 - Enimmäkseen  toteutettu</v>
      </c>
      <c r="K3" s="761" t="str">
        <f>Parameters!$B$22</f>
        <v>4 - Täysin toteutettu</v>
      </c>
      <c r="O3" s="52"/>
      <c r="P3" s="11"/>
      <c r="Q3" s="3"/>
      <c r="R3" s="43"/>
      <c r="T3" s="754"/>
      <c r="U3" s="828"/>
      <c r="V3" s="755"/>
    </row>
    <row r="4" spans="1:27" ht="30.6" customHeight="1" x14ac:dyDescent="0.25">
      <c r="A4" s="3"/>
      <c r="B4" s="10"/>
      <c r="D4" s="71" t="str">
        <f>IF(VLOOKUP("KM76",Languages!$A:$D,1,TRUE)="KM76",VLOOKUP("KM76",Languages!$A:$D,Summary!$C$7,TRUE),NA())</f>
        <v>Yleiset hallintatoimet</v>
      </c>
      <c r="E4" s="73"/>
      <c r="F4" s="73"/>
      <c r="G4" s="73"/>
      <c r="H4" s="73"/>
      <c r="I4" s="73"/>
      <c r="J4" s="73"/>
      <c r="K4" s="73"/>
      <c r="L4" s="73"/>
      <c r="M4" s="73"/>
      <c r="N4" s="73"/>
      <c r="O4" s="51"/>
      <c r="P4" s="11"/>
      <c r="Q4" s="3"/>
      <c r="R4" s="43"/>
      <c r="T4" s="754"/>
      <c r="U4" s="1285" t="s">
        <v>2585</v>
      </c>
      <c r="V4" s="755"/>
    </row>
    <row r="5" spans="1:27" s="679" customFormat="1" ht="120" customHeight="1" x14ac:dyDescent="0.3">
      <c r="A5" s="672"/>
      <c r="B5" s="673"/>
      <c r="C5" s="674"/>
      <c r="D5" s="675" t="s">
        <v>1953</v>
      </c>
      <c r="E5" s="681" t="s">
        <v>48</v>
      </c>
      <c r="F5" s="681" t="s">
        <v>64</v>
      </c>
      <c r="G5" s="681" t="s">
        <v>0</v>
      </c>
      <c r="H5" s="681" t="s">
        <v>59</v>
      </c>
      <c r="I5" s="681" t="s">
        <v>67</v>
      </c>
      <c r="J5" s="681" t="s">
        <v>69</v>
      </c>
      <c r="K5" s="681" t="s">
        <v>2619</v>
      </c>
      <c r="L5" s="681" t="s">
        <v>74</v>
      </c>
      <c r="M5" s="681" t="s">
        <v>77</v>
      </c>
      <c r="N5" s="681" t="s">
        <v>79</v>
      </c>
      <c r="O5" s="41"/>
      <c r="P5" s="676"/>
      <c r="Q5" s="672"/>
      <c r="R5" s="677"/>
      <c r="S5" s="678"/>
      <c r="T5" s="754"/>
      <c r="U5" s="1285"/>
      <c r="V5" s="755"/>
      <c r="AA5" s="1284"/>
    </row>
    <row r="6" spans="1:27" s="679" customFormat="1" ht="19.2" customHeight="1" x14ac:dyDescent="0.25">
      <c r="A6" s="672"/>
      <c r="B6" s="673"/>
      <c r="C6" s="674"/>
      <c r="D6" s="752" t="s">
        <v>1954</v>
      </c>
      <c r="E6" s="751">
        <v>5</v>
      </c>
      <c r="F6" s="751">
        <v>3</v>
      </c>
      <c r="G6" s="751">
        <v>5</v>
      </c>
      <c r="H6" s="751">
        <v>4</v>
      </c>
      <c r="I6" s="751">
        <v>4</v>
      </c>
      <c r="J6" s="751">
        <v>5</v>
      </c>
      <c r="K6" s="751">
        <v>3</v>
      </c>
      <c r="L6" s="751">
        <v>5</v>
      </c>
      <c r="M6" s="751">
        <v>6</v>
      </c>
      <c r="N6" s="751">
        <v>3</v>
      </c>
      <c r="O6" s="41"/>
      <c r="P6" s="676"/>
      <c r="Q6" s="672"/>
      <c r="R6" s="677"/>
      <c r="S6" s="678"/>
      <c r="T6" s="754"/>
      <c r="U6" s="1285"/>
      <c r="V6" s="754"/>
      <c r="AA6" s="1284"/>
    </row>
    <row r="7" spans="1:27" s="17" customFormat="1" ht="10.050000000000001" customHeight="1" x14ac:dyDescent="0.25">
      <c r="A7" s="26"/>
      <c r="B7" s="27"/>
      <c r="C7" s="36"/>
      <c r="E7" s="33"/>
      <c r="F7" s="33"/>
      <c r="G7" s="33"/>
      <c r="H7" s="33"/>
      <c r="I7" s="33"/>
      <c r="J7" s="33"/>
      <c r="K7" s="33"/>
      <c r="L7" s="33"/>
      <c r="M7" s="33"/>
      <c r="N7" s="33"/>
      <c r="O7" s="33"/>
      <c r="P7" s="31"/>
      <c r="Q7" s="26"/>
      <c r="R7" s="45"/>
      <c r="S7" s="79"/>
      <c r="T7" s="831"/>
      <c r="U7" s="1285"/>
      <c r="V7" s="832"/>
    </row>
    <row r="8" spans="1:27" s="17" customFormat="1" ht="40.049999999999997" customHeight="1" x14ac:dyDescent="0.25">
      <c r="A8" s="26"/>
      <c r="B8" s="700"/>
      <c r="C8" s="701" t="s">
        <v>1934</v>
      </c>
      <c r="D8" s="680" t="str">
        <f>SUBSTITUTE(IF(VLOOKUP(CONCATENATE("ASSET","-5",$C8),Languages!$A:$D,1,TRUE)=CONCATENATE("ASSET","-5",$C8),VLOOKUP(CONCATENATE("ASSET","-5",$C8),Languages!$A:$D,Summary!$C$7,TRUE),NA()),"ASSET-o","O")</f>
        <v>Osion toimintaa varten on määritetty dokumentoidut toimintatavat, joita noudatetaan ja päivitetään säännöllisesti.</v>
      </c>
      <c r="E8" s="684">
        <f ca="1" xml:space="preserve">
VLOOKUP(CONCATENATE(E$5,"-",E$6,$C8),Data!$C:$H,6,FALSE)</f>
        <v>0</v>
      </c>
      <c r="F8" s="684">
        <f ca="1" xml:space="preserve">
VLOOKUP(CONCATENATE(F$5,"-",F$6,$C8),Data!$C:$H,6,FALSE)</f>
        <v>0</v>
      </c>
      <c r="G8" s="684">
        <f ca="1" xml:space="preserve">
VLOOKUP(CONCATENATE(G$5,"-",G$6,$C8),Data!$C:$H,6,FALSE)</f>
        <v>0</v>
      </c>
      <c r="H8" s="684">
        <f ca="1" xml:space="preserve">
VLOOKUP(CONCATENATE(H$5,"-",H$6,$C8),Data!$C:$H,6,FALSE)</f>
        <v>0</v>
      </c>
      <c r="I8" s="684">
        <f ca="1" xml:space="preserve">
VLOOKUP(CONCATENATE(I$5,"-",I$6,$C8),Data!$C:$H,6,FALSE)</f>
        <v>0</v>
      </c>
      <c r="J8" s="684">
        <f ca="1" xml:space="preserve">
VLOOKUP(CONCATENATE(J$5,"-",J$6,$C8),Data!$C:$H,6,FALSE)</f>
        <v>0</v>
      </c>
      <c r="K8" s="684">
        <f ca="1" xml:space="preserve">
VLOOKUP(CONCATENATE(K$5,"-",K$6,$C8),Data!$C:$H,6,FALSE)</f>
        <v>0</v>
      </c>
      <c r="L8" s="684">
        <f ca="1" xml:space="preserve">
VLOOKUP(CONCATENATE(L$5,"-",L$6,$C8),Data!$C:$H,6,FALSE)</f>
        <v>0</v>
      </c>
      <c r="M8" s="684">
        <f ca="1" xml:space="preserve">
VLOOKUP(CONCATENATE(M$5,"-",M$6,$C8),Data!$C:$H,6,FALSE)</f>
        <v>0</v>
      </c>
      <c r="N8" s="684">
        <f ca="1" xml:space="preserve">
VLOOKUP(CONCATENATE(N$5,"-",N$6,$C8),Data!$C:$H,6,FALSE)</f>
        <v>0</v>
      </c>
      <c r="O8" s="58"/>
      <c r="P8" s="31"/>
      <c r="Q8" s="26"/>
      <c r="R8" s="45"/>
      <c r="S8" s="79"/>
      <c r="T8" s="831"/>
      <c r="U8" s="1285"/>
      <c r="V8" s="832"/>
    </row>
    <row r="9" spans="1:27" s="17" customFormat="1" ht="40.049999999999997" customHeight="1" x14ac:dyDescent="0.25">
      <c r="A9" s="26"/>
      <c r="B9" s="700"/>
      <c r="C9" s="701" t="s">
        <v>1935</v>
      </c>
      <c r="D9" s="680" t="str">
        <f>SUBSTITUTE(IF(VLOOKUP(CONCATENATE("ASSET","-5",$C9),Languages!$A:$D,1,TRUE)=CONCATENATE("ASSET","-5",$C9),VLOOKUP(CONCATENATE("ASSET","-5",$C9),Languages!$A:$D,Summary!$C$7,TRUE),NA()),"ASSET-o","O")</f>
        <v>Osion toimintaa varten on tarjolla riittävät resurssit (henkilöstö, rahoitus ja työkalut).</v>
      </c>
      <c r="E9" s="684">
        <f ca="1" xml:space="preserve">
VLOOKUP(CONCATENATE(E$5,"-",E$6,$C9),Data!$C:$H,6,FALSE)</f>
        <v>0</v>
      </c>
      <c r="F9" s="684">
        <f ca="1" xml:space="preserve">
VLOOKUP(CONCATENATE(F$5,"-",F$6,$C9),Data!$C:$H,6,FALSE)</f>
        <v>0</v>
      </c>
      <c r="G9" s="684">
        <f ca="1" xml:space="preserve">
VLOOKUP(CONCATENATE(G$5,"-",G$6,$C9),Data!$C:$H,6,FALSE)</f>
        <v>0</v>
      </c>
      <c r="H9" s="684">
        <f ca="1" xml:space="preserve">
VLOOKUP(CONCATENATE(H$5,"-",H$6,$C9),Data!$C:$H,6,FALSE)</f>
        <v>0</v>
      </c>
      <c r="I9" s="684">
        <f ca="1" xml:space="preserve">
VLOOKUP(CONCATENATE(I$5,"-",I$6,$C9),Data!$C:$H,6,FALSE)</f>
        <v>0</v>
      </c>
      <c r="J9" s="684">
        <f ca="1" xml:space="preserve">
VLOOKUP(CONCATENATE(J$5,"-",J$6,$C9),Data!$C:$H,6,FALSE)</f>
        <v>0</v>
      </c>
      <c r="K9" s="684">
        <f ca="1" xml:space="preserve">
VLOOKUP(CONCATENATE(K$5,"-",K$6,$C9),Data!$C:$H,6,FALSE)</f>
        <v>0</v>
      </c>
      <c r="L9" s="684">
        <f ca="1" xml:space="preserve">
VLOOKUP(CONCATENATE(L$5,"-",L$6,$C9),Data!$C:$H,6,FALSE)</f>
        <v>0</v>
      </c>
      <c r="M9" s="684">
        <f ca="1" xml:space="preserve">
VLOOKUP(CONCATENATE(M$5,"-",M$6,$C9),Data!$C:$H,6,FALSE)</f>
        <v>0</v>
      </c>
      <c r="N9" s="684">
        <f ca="1" xml:space="preserve">
VLOOKUP(CONCATENATE(N$5,"-",N$6,$C9),Data!$C:$H,6,FALSE)</f>
        <v>0</v>
      </c>
      <c r="O9" s="58"/>
      <c r="P9" s="31"/>
      <c r="Q9" s="26"/>
      <c r="R9" s="45"/>
      <c r="S9" s="79"/>
      <c r="T9" s="831"/>
      <c r="U9" s="1286"/>
      <c r="V9" s="832"/>
    </row>
    <row r="10" spans="1:27" s="17" customFormat="1" ht="40.049999999999997" customHeight="1" x14ac:dyDescent="0.25">
      <c r="A10" s="26"/>
      <c r="B10" s="700"/>
      <c r="C10" s="701" t="s">
        <v>1936</v>
      </c>
      <c r="D10" s="680" t="str">
        <f>SUBSTITUTE(IF(VLOOKUP(CONCATENATE("ASSET","-5",$C10),Languages!$A:$D,1,TRUE)=CONCATENATE("ASSET","-5",$C10),VLOOKUP(CONCATENATE("ASSET","-5",$C10),Languages!$A:$D,Summary!$C$7,TRUE),NA()),"ASSET-o","O")</f>
        <v>Osion toimintaa ohjataan vaatimuksilla, jotka on asetettu organisaation johtotason politiikassa (tai vastaavassa ohjeistuksessa).</v>
      </c>
      <c r="E10" s="684">
        <f ca="1" xml:space="preserve">
VLOOKUP(CONCATENATE(E$5,"-",E$6,$C10),Data!$C:$H,6,FALSE)</f>
        <v>0</v>
      </c>
      <c r="F10" s="684">
        <f ca="1" xml:space="preserve">
VLOOKUP(CONCATENATE(F$5,"-",F$6,$C10),Data!$C:$H,6,FALSE)</f>
        <v>0</v>
      </c>
      <c r="G10" s="684">
        <f ca="1" xml:space="preserve">
VLOOKUP(CONCATENATE(G$5,"-",G$6,$C10),Data!$C:$H,6,FALSE)</f>
        <v>0</v>
      </c>
      <c r="H10" s="684">
        <f ca="1" xml:space="preserve">
VLOOKUP(CONCATENATE(H$5,"-",H$6,$C10),Data!$C:$H,6,FALSE)</f>
        <v>0</v>
      </c>
      <c r="I10" s="684">
        <f ca="1" xml:space="preserve">
VLOOKUP(CONCATENATE(I$5,"-",I$6,$C10),Data!$C:$H,6,FALSE)</f>
        <v>0</v>
      </c>
      <c r="J10" s="684">
        <f ca="1" xml:space="preserve">
VLOOKUP(CONCATENATE(J$5,"-",J$6,$C10),Data!$C:$H,6,FALSE)</f>
        <v>0</v>
      </c>
      <c r="K10" s="684">
        <f ca="1" xml:space="preserve">
VLOOKUP(CONCATENATE(K$5,"-",K$6,$C10),Data!$C:$H,6,FALSE)</f>
        <v>0</v>
      </c>
      <c r="L10" s="684">
        <f ca="1" xml:space="preserve">
VLOOKUP(CONCATENATE(L$5,"-",L$6,$C10),Data!$C:$H,6,FALSE)</f>
        <v>0</v>
      </c>
      <c r="M10" s="684">
        <f ca="1" xml:space="preserve">
VLOOKUP(CONCATENATE(M$5,"-",M$6,$C10),Data!$C:$H,6,FALSE)</f>
        <v>0</v>
      </c>
      <c r="N10" s="684">
        <f ca="1" xml:space="preserve">
VLOOKUP(CONCATENATE(N$5,"-",N$6,$C10),Data!$C:$H,6,FALSE)</f>
        <v>0</v>
      </c>
      <c r="O10" s="58"/>
      <c r="P10" s="31"/>
      <c r="Q10" s="26"/>
      <c r="R10" s="45"/>
      <c r="S10" s="79"/>
      <c r="T10" s="831"/>
      <c r="U10" s="754"/>
      <c r="V10" s="832"/>
    </row>
    <row r="11" spans="1:27" s="17" customFormat="1" ht="40.049999999999997" customHeight="1" x14ac:dyDescent="0.25">
      <c r="A11" s="26"/>
      <c r="B11" s="700"/>
      <c r="C11" s="701" t="s">
        <v>1937</v>
      </c>
      <c r="D11" s="680" t="str">
        <f>SUBSTITUTE(IF(VLOOKUP(CONCATENATE("ASSET","-5",$C11),Languages!$A:$D,1,TRUE)=CONCATENATE("ASSET","-5",$C11),VLOOKUP(CONCATENATE("ASSET","-5",$C11),Languages!$A:$D,Summary!$C$7,TRUE),NA()),"ASSET-o","O")</f>
        <v>Osion toiminnan suorittamiseen tarvittavat vastuut, tilivelvollisuudet ja valtuutukset on jalkautettu soveltuville työntekijöille.</v>
      </c>
      <c r="E11" s="684">
        <f ca="1" xml:space="preserve">
VLOOKUP(CONCATENATE(E$5,"-",E$6,$C11),Data!$C:$H,6,FALSE)</f>
        <v>0</v>
      </c>
      <c r="F11" s="684">
        <f ca="1" xml:space="preserve">
VLOOKUP(CONCATENATE(F$5,"-",F$6,$C11),Data!$C:$H,6,FALSE)</f>
        <v>0</v>
      </c>
      <c r="G11" s="684">
        <f ca="1" xml:space="preserve">
VLOOKUP(CONCATENATE(G$5,"-",G$6,$C11),Data!$C:$H,6,FALSE)</f>
        <v>0</v>
      </c>
      <c r="H11" s="684">
        <f ca="1" xml:space="preserve">
VLOOKUP(CONCATENATE(H$5,"-",H$6,$C11),Data!$C:$H,6,FALSE)</f>
        <v>0</v>
      </c>
      <c r="I11" s="684">
        <f ca="1" xml:space="preserve">
VLOOKUP(CONCATENATE(I$5,"-",I$6,$C11),Data!$C:$H,6,FALSE)</f>
        <v>0</v>
      </c>
      <c r="J11" s="684">
        <f ca="1" xml:space="preserve">
VLOOKUP(CONCATENATE(J$5,"-",J$6,$C11),Data!$C:$H,6,FALSE)</f>
        <v>0</v>
      </c>
      <c r="K11" s="684">
        <f ca="1" xml:space="preserve">
VLOOKUP(CONCATENATE(K$5,"-",K$6,$C11),Data!$C:$H,6,FALSE)</f>
        <v>0</v>
      </c>
      <c r="L11" s="684">
        <f ca="1" xml:space="preserve">
VLOOKUP(CONCATENATE(L$5,"-",L$6,$C11),Data!$C:$H,6,FALSE)</f>
        <v>0</v>
      </c>
      <c r="M11" s="684">
        <f ca="1" xml:space="preserve">
VLOOKUP(CONCATENATE(M$5,"-",M$6,$C11),Data!$C:$H,6,FALSE)</f>
        <v>0</v>
      </c>
      <c r="N11" s="684">
        <f ca="1" xml:space="preserve">
VLOOKUP(CONCATENATE(N$5,"-",N$6,$C11),Data!$C:$H,6,FALSE)</f>
        <v>0</v>
      </c>
      <c r="O11" s="58"/>
      <c r="P11" s="31"/>
      <c r="Q11" s="26"/>
      <c r="R11" s="45"/>
      <c r="S11" s="79"/>
      <c r="T11" s="79"/>
      <c r="U11" s="79"/>
    </row>
    <row r="12" spans="1:27" s="17" customFormat="1" ht="40.049999999999997" customHeight="1" x14ac:dyDescent="0.25">
      <c r="A12" s="26"/>
      <c r="B12" s="700"/>
      <c r="C12" s="701" t="s">
        <v>1938</v>
      </c>
      <c r="D12" s="680" t="str">
        <f>SUBSTITUTE(IF(VLOOKUP(CONCATENATE("ASSET","-5",$C12),Languages!$A:$D,1,TRUE)=CONCATENATE("ASSET","-5",$C12),VLOOKUP(CONCATENATE("ASSET","-5",$C12),Languages!$A:$D,Summary!$C$7,TRUE),NA()),"ASSET-o","O")</f>
        <v>Osion toimintaa suorittavilla työntekijöillä on riittävät tiedot ja taidot tehtäviensä suorittamiseen.</v>
      </c>
      <c r="E12" s="684">
        <f ca="1" xml:space="preserve">
VLOOKUP(CONCATENATE(E$5,"-",E$6,$C12),Data!$C:$H,6,FALSE)</f>
        <v>0</v>
      </c>
      <c r="F12" s="684">
        <f ca="1" xml:space="preserve">
VLOOKUP(CONCATENATE(F$5,"-",F$6,$C12),Data!$C:$H,6,FALSE)</f>
        <v>0</v>
      </c>
      <c r="G12" s="684">
        <f ca="1" xml:space="preserve">
VLOOKUP(CONCATENATE(G$5,"-",G$6,$C12),Data!$C:$H,6,FALSE)</f>
        <v>0</v>
      </c>
      <c r="H12" s="684">
        <f ca="1" xml:space="preserve">
VLOOKUP(CONCATENATE(H$5,"-",H$6,$C12),Data!$C:$H,6,FALSE)</f>
        <v>0</v>
      </c>
      <c r="I12" s="684">
        <f ca="1" xml:space="preserve">
VLOOKUP(CONCATENATE(I$5,"-",I$6,$C12),Data!$C:$H,6,FALSE)</f>
        <v>0</v>
      </c>
      <c r="J12" s="684">
        <f ca="1" xml:space="preserve">
VLOOKUP(CONCATENATE(J$5,"-",J$6,$C12),Data!$C:$H,6,FALSE)</f>
        <v>0</v>
      </c>
      <c r="K12" s="684">
        <f ca="1" xml:space="preserve">
VLOOKUP(CONCATENATE(K$5,"-",K$6,$C12),Data!$C:$H,6,FALSE)</f>
        <v>0</v>
      </c>
      <c r="L12" s="684">
        <f ca="1" xml:space="preserve">
VLOOKUP(CONCATENATE(L$5,"-",L$6,$C12),Data!$C:$H,6,FALSE)</f>
        <v>0</v>
      </c>
      <c r="M12" s="684">
        <f ca="1" xml:space="preserve">
VLOOKUP(CONCATENATE(M$5,"-",M$6,$C12),Data!$C:$H,6,FALSE)</f>
        <v>0</v>
      </c>
      <c r="N12" s="684">
        <f ca="1" xml:space="preserve">
VLOOKUP(CONCATENATE(N$5,"-",N$6,$C12),Data!$C:$H,6,FALSE)</f>
        <v>0</v>
      </c>
      <c r="O12" s="58"/>
      <c r="P12" s="31"/>
      <c r="Q12" s="26"/>
      <c r="R12" s="45"/>
      <c r="S12" s="79"/>
      <c r="T12" s="79"/>
      <c r="U12" s="79"/>
    </row>
    <row r="13" spans="1:27" s="17" customFormat="1" ht="40.049999999999997" customHeight="1" x14ac:dyDescent="0.25">
      <c r="A13" s="26"/>
      <c r="B13" s="700"/>
      <c r="C13" s="701" t="s">
        <v>1939</v>
      </c>
      <c r="D13" s="680" t="str">
        <f>SUBSTITUTE(IF(VLOOKUP(CONCATENATE("ASSET","-5",$C13),Languages!$A:$D,1,TRUE)=CONCATENATE("ASSET","-5",$C13),VLOOKUP(CONCATENATE("ASSET","-5",$C13),Languages!$A:$D,Summary!$C$7,TRUE),NA()),"ASSET-o","O")</f>
        <v>Osion toiminnan vaikuttavuutta arvioidaan ja seurataan.</v>
      </c>
      <c r="E13" s="684">
        <f ca="1" xml:space="preserve">
VLOOKUP(CONCATENATE(E$5,"-",E$6,$C13),Data!$C:$H,6,FALSE)</f>
        <v>0</v>
      </c>
      <c r="F13" s="684">
        <f ca="1" xml:space="preserve">
VLOOKUP(CONCATENATE(F$5,"-",F$6,$C13),Data!$C:$H,6,FALSE)</f>
        <v>0</v>
      </c>
      <c r="G13" s="684">
        <f ca="1" xml:space="preserve">
VLOOKUP(CONCATENATE(G$5,"-",G$6,$C13),Data!$C:$H,6,FALSE)</f>
        <v>0</v>
      </c>
      <c r="H13" s="684">
        <f ca="1" xml:space="preserve">
VLOOKUP(CONCATENATE(H$5,"-",H$6,$C13),Data!$C:$H,6,FALSE)</f>
        <v>0</v>
      </c>
      <c r="I13" s="684">
        <f ca="1" xml:space="preserve">
VLOOKUP(CONCATENATE(I$5,"-",I$6,$C13),Data!$C:$H,6,FALSE)</f>
        <v>0</v>
      </c>
      <c r="J13" s="684">
        <f ca="1" xml:space="preserve">
VLOOKUP(CONCATENATE(J$5,"-",J$6,$C13),Data!$C:$H,6,FALSE)</f>
        <v>0</v>
      </c>
      <c r="K13" s="684">
        <f ca="1" xml:space="preserve">
VLOOKUP(CONCATENATE(K$5,"-",K$6,$C13),Data!$C:$H,6,FALSE)</f>
        <v>0</v>
      </c>
      <c r="L13" s="684">
        <f ca="1" xml:space="preserve">
VLOOKUP(CONCATENATE(L$5,"-",L$6,$C13),Data!$C:$H,6,FALSE)</f>
        <v>0</v>
      </c>
      <c r="M13" s="684">
        <f ca="1" xml:space="preserve">
VLOOKUP(CONCATENATE(M$5,"-",M$6,$C13),Data!$C:$H,6,FALSE)</f>
        <v>0</v>
      </c>
      <c r="N13" s="684">
        <f ca="1" xml:space="preserve">
VLOOKUP(CONCATENATE(N$5,"-",N$6,$C13),Data!$C:$H,6,FALSE)</f>
        <v>0</v>
      </c>
      <c r="O13" s="58"/>
      <c r="P13" s="31"/>
      <c r="Q13" s="26"/>
      <c r="R13" s="45"/>
      <c r="S13" s="79"/>
      <c r="T13" s="79"/>
      <c r="U13" s="79"/>
    </row>
    <row r="14" spans="1:27" s="13" customFormat="1" ht="15" customHeight="1" x14ac:dyDescent="0.25">
      <c r="A14" s="12"/>
      <c r="B14" s="14"/>
      <c r="C14" s="18"/>
      <c r="D14" s="18"/>
      <c r="E14" s="682">
        <v>5</v>
      </c>
      <c r="F14" s="682">
        <v>3</v>
      </c>
      <c r="G14" s="682">
        <v>5</v>
      </c>
      <c r="H14" s="682">
        <v>4</v>
      </c>
      <c r="I14" s="682">
        <v>4</v>
      </c>
      <c r="J14" s="682">
        <v>5</v>
      </c>
      <c r="K14" s="682">
        <v>3</v>
      </c>
      <c r="L14" s="683">
        <v>5</v>
      </c>
      <c r="M14" s="683">
        <v>6</v>
      </c>
      <c r="N14" s="683">
        <v>3</v>
      </c>
      <c r="O14" s="19"/>
      <c r="P14" s="15"/>
      <c r="Q14" s="12"/>
      <c r="R14" s="42"/>
      <c r="S14" s="80"/>
      <c r="T14" s="80"/>
      <c r="U14" s="80"/>
    </row>
    <row r="15" spans="1:27" s="13" customFormat="1" ht="18" customHeight="1" x14ac:dyDescent="0.25">
      <c r="A15" s="12"/>
      <c r="B15" s="12"/>
      <c r="C15" s="12"/>
      <c r="D15" s="16"/>
      <c r="E15" s="16"/>
      <c r="F15" s="16"/>
      <c r="G15" s="16"/>
      <c r="H15" s="16"/>
      <c r="I15" s="16"/>
      <c r="J15" s="16"/>
      <c r="K15" s="16"/>
      <c r="L15" s="12"/>
      <c r="M15" s="12"/>
      <c r="N15" s="12"/>
      <c r="O15" s="12"/>
      <c r="P15" s="12"/>
      <c r="Q15" s="12"/>
      <c r="R15" s="42"/>
      <c r="S15" s="80"/>
      <c r="T15" s="80"/>
      <c r="U15" s="80"/>
    </row>
  </sheetData>
  <sheetProtection sheet="1" formatCells="0" formatColumns="0" formatRows="0"/>
  <mergeCells count="2">
    <mergeCell ref="AA5:AA6"/>
    <mergeCell ref="U4:U9"/>
  </mergeCells>
  <conditionalFormatting sqref="E8:N13">
    <cfRule type="containsText" dxfId="67" priority="1" operator="containsText" text="1">
      <formula>NOT(ISERROR(SEARCH("1",E8)))</formula>
    </cfRule>
    <cfRule type="containsText" dxfId="66" priority="2" operator="containsText" text="2">
      <formula>NOT(ISERROR(SEARCH("2",E8)))</formula>
    </cfRule>
    <cfRule type="containsText" dxfId="65" priority="3" operator="containsText" text="3">
      <formula>NOT(ISERROR(SEARCH("3",E8)))</formula>
    </cfRule>
    <cfRule type="containsText" dxfId="64" priority="4" operator="containsText" text="4">
      <formula>NOT(ISERROR(SEARCH("4",E8)))</formula>
    </cfRule>
    <cfRule type="containsText" dxfId="63" priority="5" operator="containsText" text="0">
      <formula>NOT(ISERROR(SEARCH("0",E8)))</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W86"/>
  <sheetViews>
    <sheetView zoomScale="80" zoomScaleNormal="80" workbookViewId="0"/>
  </sheetViews>
  <sheetFormatPr defaultColWidth="8.7265625" defaultRowHeight="13.8" x14ac:dyDescent="0.25"/>
  <cols>
    <col min="1" max="1" width="1.6328125" style="595" customWidth="1"/>
    <col min="2" max="2" width="8.7265625" style="595" customWidth="1"/>
    <col min="3" max="18" width="8.7265625" style="595"/>
    <col min="19" max="19" width="1.54296875" style="595" customWidth="1"/>
    <col min="20" max="21" width="8.7265625" style="595"/>
    <col min="22" max="22" width="80.6328125" style="595" customWidth="1"/>
    <col min="23" max="16384" width="8.7265625" style="595"/>
  </cols>
  <sheetData>
    <row r="1" spans="1:23" x14ac:dyDescent="0.25">
      <c r="A1" s="3"/>
      <c r="B1" s="3"/>
      <c r="C1" s="3"/>
      <c r="D1" s="3"/>
      <c r="E1" s="4"/>
      <c r="F1" s="4"/>
      <c r="G1" s="4"/>
      <c r="H1" s="4"/>
      <c r="I1" s="4"/>
      <c r="J1" s="4"/>
      <c r="K1" s="4"/>
      <c r="L1" s="3"/>
      <c r="M1" s="3"/>
      <c r="N1" s="3"/>
      <c r="O1" s="3"/>
      <c r="P1" s="3"/>
      <c r="Q1" s="3"/>
      <c r="R1" s="3"/>
      <c r="S1" s="3"/>
      <c r="U1" s="754"/>
      <c r="V1" s="754"/>
      <c r="W1" s="755"/>
    </row>
    <row r="2" spans="1:23" x14ac:dyDescent="0.25">
      <c r="A2" s="3"/>
      <c r="B2" s="742"/>
      <c r="C2" s="743"/>
      <c r="D2" s="743"/>
      <c r="E2" s="743"/>
      <c r="F2" s="743"/>
      <c r="G2" s="743"/>
      <c r="H2" s="743"/>
      <c r="I2" s="743"/>
      <c r="J2" s="743"/>
      <c r="K2" s="743"/>
      <c r="L2" s="743"/>
      <c r="M2" s="743"/>
      <c r="N2" s="743"/>
      <c r="O2" s="743"/>
      <c r="P2" s="743"/>
      <c r="Q2" s="743"/>
      <c r="R2" s="744"/>
      <c r="S2" s="3"/>
      <c r="U2" s="754"/>
      <c r="V2" s="827" t="s">
        <v>1956</v>
      </c>
      <c r="W2" s="755"/>
    </row>
    <row r="3" spans="1:23" x14ac:dyDescent="0.25">
      <c r="A3" s="3"/>
      <c r="B3" s="745"/>
      <c r="C3" s="746"/>
      <c r="D3" s="746"/>
      <c r="E3" s="746"/>
      <c r="F3" s="746"/>
      <c r="G3" s="746"/>
      <c r="H3" s="746"/>
      <c r="I3" s="746"/>
      <c r="J3" s="746"/>
      <c r="K3" s="746"/>
      <c r="L3" s="746"/>
      <c r="M3" s="746"/>
      <c r="N3" s="746"/>
      <c r="O3" s="746"/>
      <c r="P3" s="746"/>
      <c r="Q3" s="746"/>
      <c r="R3" s="747"/>
      <c r="S3" s="3"/>
      <c r="U3" s="754"/>
      <c r="V3" s="828"/>
      <c r="W3" s="755"/>
    </row>
    <row r="4" spans="1:23" x14ac:dyDescent="0.25">
      <c r="A4" s="3"/>
      <c r="B4" s="745"/>
      <c r="C4" s="746"/>
      <c r="D4" s="746"/>
      <c r="E4" s="746"/>
      <c r="F4" s="746"/>
      <c r="G4" s="746"/>
      <c r="H4" s="746"/>
      <c r="I4" s="746"/>
      <c r="J4" s="746"/>
      <c r="K4" s="746"/>
      <c r="L4" s="746"/>
      <c r="M4" s="746"/>
      <c r="N4" s="746"/>
      <c r="O4" s="746"/>
      <c r="P4" s="746"/>
      <c r="Q4" s="746"/>
      <c r="R4" s="747"/>
      <c r="S4" s="3"/>
      <c r="U4" s="754"/>
      <c r="V4" s="1285" t="s">
        <v>2556</v>
      </c>
      <c r="W4" s="755"/>
    </row>
    <row r="5" spans="1:23" x14ac:dyDescent="0.25">
      <c r="A5" s="3"/>
      <c r="B5" s="745"/>
      <c r="C5" s="746"/>
      <c r="D5" s="746"/>
      <c r="E5" s="746"/>
      <c r="F5" s="746"/>
      <c r="G5" s="746"/>
      <c r="H5" s="746"/>
      <c r="I5" s="746"/>
      <c r="J5" s="746"/>
      <c r="K5" s="746"/>
      <c r="L5" s="746"/>
      <c r="M5" s="746"/>
      <c r="N5" s="746"/>
      <c r="O5" s="746"/>
      <c r="P5" s="746"/>
      <c r="Q5" s="746"/>
      <c r="R5" s="747"/>
      <c r="S5" s="3"/>
      <c r="U5" s="754"/>
      <c r="V5" s="1285"/>
      <c r="W5" s="755"/>
    </row>
    <row r="6" spans="1:23" x14ac:dyDescent="0.25">
      <c r="A6" s="3"/>
      <c r="B6" s="745"/>
      <c r="C6" s="746"/>
      <c r="D6" s="746"/>
      <c r="E6" s="746"/>
      <c r="F6" s="746"/>
      <c r="G6" s="746"/>
      <c r="H6" s="746"/>
      <c r="I6" s="746"/>
      <c r="J6" s="746"/>
      <c r="K6" s="746"/>
      <c r="L6" s="746"/>
      <c r="M6" s="746"/>
      <c r="N6" s="746"/>
      <c r="O6" s="746"/>
      <c r="P6" s="746"/>
      <c r="Q6" s="746"/>
      <c r="R6" s="747"/>
      <c r="S6" s="3"/>
      <c r="U6" s="754"/>
      <c r="V6" s="1285"/>
      <c r="W6" s="754"/>
    </row>
    <row r="7" spans="1:23" x14ac:dyDescent="0.25">
      <c r="A7" s="3"/>
      <c r="B7" s="745"/>
      <c r="C7" s="746"/>
      <c r="D7" s="746"/>
      <c r="E7" s="746"/>
      <c r="F7" s="746"/>
      <c r="G7" s="746"/>
      <c r="H7" s="746"/>
      <c r="I7" s="746"/>
      <c r="J7" s="746"/>
      <c r="K7" s="746"/>
      <c r="L7" s="746"/>
      <c r="M7" s="746"/>
      <c r="N7" s="746"/>
      <c r="O7" s="746"/>
      <c r="P7" s="746"/>
      <c r="Q7" s="746"/>
      <c r="R7" s="747"/>
      <c r="S7" s="3"/>
      <c r="U7" s="754"/>
      <c r="V7" s="1285"/>
      <c r="W7" s="754"/>
    </row>
    <row r="8" spans="1:23" x14ac:dyDescent="0.25">
      <c r="A8" s="3"/>
      <c r="B8" s="745"/>
      <c r="C8" s="746"/>
      <c r="D8" s="746"/>
      <c r="E8" s="746"/>
      <c r="F8" s="746"/>
      <c r="G8" s="746"/>
      <c r="H8" s="746"/>
      <c r="I8" s="746"/>
      <c r="J8" s="746"/>
      <c r="K8" s="746"/>
      <c r="L8" s="746"/>
      <c r="M8" s="746"/>
      <c r="N8" s="746"/>
      <c r="O8" s="746"/>
      <c r="P8" s="746"/>
      <c r="Q8" s="746"/>
      <c r="R8" s="747"/>
      <c r="S8" s="3"/>
      <c r="U8" s="754"/>
      <c r="V8" s="1285"/>
      <c r="W8" s="754"/>
    </row>
    <row r="9" spans="1:23" x14ac:dyDescent="0.25">
      <c r="A9" s="3"/>
      <c r="B9" s="745"/>
      <c r="C9" s="746"/>
      <c r="D9" s="746"/>
      <c r="E9" s="746"/>
      <c r="F9" s="746"/>
      <c r="G9" s="746"/>
      <c r="H9" s="746"/>
      <c r="I9" s="746"/>
      <c r="J9" s="746"/>
      <c r="K9" s="746"/>
      <c r="L9" s="746"/>
      <c r="M9" s="746"/>
      <c r="N9" s="746"/>
      <c r="O9" s="746"/>
      <c r="P9" s="746"/>
      <c r="Q9" s="746"/>
      <c r="R9" s="747"/>
      <c r="S9" s="3"/>
      <c r="U9" s="754"/>
      <c r="V9" s="1285"/>
      <c r="W9" s="754"/>
    </row>
    <row r="10" spans="1:23" x14ac:dyDescent="0.25">
      <c r="A10" s="3"/>
      <c r="B10" s="745"/>
      <c r="C10" s="746"/>
      <c r="D10" s="746"/>
      <c r="E10" s="746"/>
      <c r="F10" s="746"/>
      <c r="G10" s="746"/>
      <c r="H10" s="746"/>
      <c r="I10" s="746"/>
      <c r="J10" s="746"/>
      <c r="K10" s="746"/>
      <c r="L10" s="746"/>
      <c r="M10" s="746"/>
      <c r="N10" s="746"/>
      <c r="O10" s="746"/>
      <c r="P10" s="746"/>
      <c r="Q10" s="746"/>
      <c r="R10" s="747"/>
      <c r="S10" s="3"/>
      <c r="U10" s="754"/>
      <c r="V10" s="1285"/>
      <c r="W10" s="754"/>
    </row>
    <row r="11" spans="1:23" x14ac:dyDescent="0.25">
      <c r="A11" s="3"/>
      <c r="B11" s="745"/>
      <c r="C11" s="746"/>
      <c r="D11" s="746"/>
      <c r="E11" s="746"/>
      <c r="F11" s="746"/>
      <c r="G11" s="746"/>
      <c r="H11" s="746"/>
      <c r="I11" s="746"/>
      <c r="J11" s="746"/>
      <c r="K11" s="746"/>
      <c r="L11" s="746"/>
      <c r="M11" s="746"/>
      <c r="N11" s="746"/>
      <c r="O11" s="746"/>
      <c r="P11" s="746"/>
      <c r="Q11" s="746"/>
      <c r="R11" s="747"/>
      <c r="S11" s="3"/>
      <c r="U11" s="754"/>
      <c r="V11" s="1285"/>
      <c r="W11" s="754"/>
    </row>
    <row r="12" spans="1:23" x14ac:dyDescent="0.25">
      <c r="A12" s="3"/>
      <c r="B12" s="745"/>
      <c r="C12" s="746"/>
      <c r="D12" s="746"/>
      <c r="E12" s="746"/>
      <c r="F12" s="746"/>
      <c r="G12" s="746"/>
      <c r="H12" s="746"/>
      <c r="I12" s="746"/>
      <c r="J12" s="746"/>
      <c r="K12" s="746"/>
      <c r="L12" s="746"/>
      <c r="M12" s="746"/>
      <c r="N12" s="746"/>
      <c r="O12" s="746"/>
      <c r="P12" s="746"/>
      <c r="Q12" s="746"/>
      <c r="R12" s="747"/>
      <c r="S12" s="3"/>
      <c r="U12" s="754"/>
      <c r="V12" s="1285"/>
      <c r="W12" s="754"/>
    </row>
    <row r="13" spans="1:23" x14ac:dyDescent="0.25">
      <c r="A13" s="3"/>
      <c r="B13" s="745"/>
      <c r="C13" s="746"/>
      <c r="D13" s="746"/>
      <c r="E13" s="746"/>
      <c r="F13" s="746"/>
      <c r="G13" s="746"/>
      <c r="H13" s="746"/>
      <c r="I13" s="746"/>
      <c r="J13" s="746"/>
      <c r="K13" s="746"/>
      <c r="L13" s="746"/>
      <c r="M13" s="746"/>
      <c r="N13" s="746"/>
      <c r="O13" s="746"/>
      <c r="P13" s="746"/>
      <c r="Q13" s="746"/>
      <c r="R13" s="747"/>
      <c r="S13" s="3"/>
      <c r="U13" s="754"/>
      <c r="V13" s="1285"/>
      <c r="W13" s="754"/>
    </row>
    <row r="14" spans="1:23" x14ac:dyDescent="0.25">
      <c r="A14" s="3"/>
      <c r="B14" s="745"/>
      <c r="C14" s="746"/>
      <c r="D14" s="746"/>
      <c r="E14" s="746"/>
      <c r="F14" s="746"/>
      <c r="G14" s="746"/>
      <c r="H14" s="746"/>
      <c r="I14" s="746"/>
      <c r="J14" s="746"/>
      <c r="K14" s="746"/>
      <c r="L14" s="746"/>
      <c r="M14" s="746"/>
      <c r="N14" s="746"/>
      <c r="O14" s="746"/>
      <c r="P14" s="746"/>
      <c r="Q14" s="746"/>
      <c r="R14" s="747"/>
      <c r="S14" s="3"/>
      <c r="U14" s="754"/>
      <c r="V14" s="1285"/>
      <c r="W14" s="754"/>
    </row>
    <row r="15" spans="1:23" x14ac:dyDescent="0.25">
      <c r="A15" s="3"/>
      <c r="B15" s="745"/>
      <c r="C15" s="746"/>
      <c r="D15" s="746"/>
      <c r="E15" s="746"/>
      <c r="F15" s="746"/>
      <c r="G15" s="746"/>
      <c r="H15" s="746"/>
      <c r="I15" s="746"/>
      <c r="J15" s="746"/>
      <c r="K15" s="746"/>
      <c r="L15" s="746"/>
      <c r="M15" s="746"/>
      <c r="N15" s="746"/>
      <c r="O15" s="746"/>
      <c r="P15" s="746"/>
      <c r="Q15" s="746"/>
      <c r="R15" s="747"/>
      <c r="S15" s="3"/>
      <c r="U15" s="754"/>
      <c r="V15" s="1285"/>
      <c r="W15" s="754"/>
    </row>
    <row r="16" spans="1:23" x14ac:dyDescent="0.25">
      <c r="A16" s="3"/>
      <c r="B16" s="745"/>
      <c r="C16" s="746"/>
      <c r="D16" s="746"/>
      <c r="E16" s="746"/>
      <c r="F16" s="746"/>
      <c r="G16" s="746"/>
      <c r="H16" s="746"/>
      <c r="I16" s="746"/>
      <c r="J16" s="746"/>
      <c r="K16" s="746"/>
      <c r="L16" s="746"/>
      <c r="M16" s="746"/>
      <c r="N16" s="746"/>
      <c r="O16" s="746"/>
      <c r="P16" s="746"/>
      <c r="Q16" s="746"/>
      <c r="R16" s="747"/>
      <c r="S16" s="3"/>
      <c r="U16" s="754"/>
      <c r="V16" s="1286"/>
      <c r="W16" s="754"/>
    </row>
    <row r="17" spans="1:23" x14ac:dyDescent="0.25">
      <c r="A17" s="3"/>
      <c r="B17" s="745"/>
      <c r="C17" s="746"/>
      <c r="D17" s="746"/>
      <c r="E17" s="746"/>
      <c r="F17" s="746"/>
      <c r="G17" s="746"/>
      <c r="H17" s="746"/>
      <c r="I17" s="746"/>
      <c r="J17" s="746"/>
      <c r="K17" s="746"/>
      <c r="L17" s="746"/>
      <c r="M17" s="746"/>
      <c r="N17" s="746"/>
      <c r="O17" s="746"/>
      <c r="P17" s="746"/>
      <c r="Q17" s="746"/>
      <c r="R17" s="747"/>
      <c r="S17" s="3"/>
      <c r="U17" s="754"/>
      <c r="V17" s="754"/>
      <c r="W17" s="754"/>
    </row>
    <row r="18" spans="1:23" x14ac:dyDescent="0.25">
      <c r="A18" s="3"/>
      <c r="B18" s="745"/>
      <c r="C18" s="746"/>
      <c r="D18" s="746"/>
      <c r="E18" s="746"/>
      <c r="F18" s="746"/>
      <c r="G18" s="746"/>
      <c r="H18" s="746"/>
      <c r="I18" s="746"/>
      <c r="J18" s="746"/>
      <c r="K18" s="746"/>
      <c r="L18" s="746"/>
      <c r="M18" s="746"/>
      <c r="N18" s="746"/>
      <c r="O18" s="746"/>
      <c r="P18" s="746"/>
      <c r="Q18" s="746"/>
      <c r="R18" s="747"/>
      <c r="S18" s="3"/>
    </row>
    <row r="19" spans="1:23" x14ac:dyDescent="0.25">
      <c r="A19" s="3"/>
      <c r="B19" s="745"/>
      <c r="C19" s="746"/>
      <c r="D19" s="746"/>
      <c r="E19" s="746"/>
      <c r="F19" s="746"/>
      <c r="G19" s="746"/>
      <c r="H19" s="746"/>
      <c r="I19" s="746"/>
      <c r="J19" s="746"/>
      <c r="K19" s="746"/>
      <c r="L19" s="746"/>
      <c r="M19" s="746"/>
      <c r="N19" s="746"/>
      <c r="O19" s="746"/>
      <c r="P19" s="746"/>
      <c r="Q19" s="746"/>
      <c r="R19" s="747"/>
      <c r="S19" s="3"/>
    </row>
    <row r="20" spans="1:23" x14ac:dyDescent="0.25">
      <c r="A20" s="3"/>
      <c r="B20" s="745"/>
      <c r="C20" s="746"/>
      <c r="D20" s="746"/>
      <c r="E20" s="746"/>
      <c r="F20" s="746"/>
      <c r="G20" s="746"/>
      <c r="H20" s="746"/>
      <c r="I20" s="746"/>
      <c r="J20" s="746"/>
      <c r="K20" s="746"/>
      <c r="L20" s="746"/>
      <c r="M20" s="746"/>
      <c r="N20" s="746"/>
      <c r="O20" s="746"/>
      <c r="P20" s="746"/>
      <c r="Q20" s="746"/>
      <c r="R20" s="747"/>
      <c r="S20" s="3"/>
    </row>
    <row r="21" spans="1:23" x14ac:dyDescent="0.25">
      <c r="A21" s="3"/>
      <c r="B21" s="745"/>
      <c r="C21" s="746"/>
      <c r="D21" s="746"/>
      <c r="E21" s="746"/>
      <c r="F21" s="746"/>
      <c r="G21" s="746"/>
      <c r="H21" s="746"/>
      <c r="I21" s="746"/>
      <c r="J21" s="746"/>
      <c r="K21" s="746"/>
      <c r="L21" s="746"/>
      <c r="M21" s="746"/>
      <c r="N21" s="746"/>
      <c r="O21" s="746"/>
      <c r="P21" s="746"/>
      <c r="Q21" s="746"/>
      <c r="R21" s="747"/>
      <c r="S21" s="3"/>
    </row>
    <row r="22" spans="1:23" x14ac:dyDescent="0.25">
      <c r="A22" s="3"/>
      <c r="B22" s="745"/>
      <c r="C22" s="746"/>
      <c r="D22" s="746"/>
      <c r="E22" s="746"/>
      <c r="F22" s="746"/>
      <c r="G22" s="746"/>
      <c r="H22" s="746"/>
      <c r="I22" s="746"/>
      <c r="J22" s="746"/>
      <c r="K22" s="746"/>
      <c r="L22" s="746"/>
      <c r="M22" s="746"/>
      <c r="N22" s="746"/>
      <c r="O22" s="746"/>
      <c r="P22" s="746"/>
      <c r="Q22" s="746"/>
      <c r="R22" s="747"/>
      <c r="S22" s="3"/>
    </row>
    <row r="23" spans="1:23" x14ac:dyDescent="0.25">
      <c r="A23" s="3"/>
      <c r="B23" s="745"/>
      <c r="C23" s="746"/>
      <c r="D23" s="746"/>
      <c r="E23" s="746"/>
      <c r="F23" s="746"/>
      <c r="G23" s="746"/>
      <c r="H23" s="746"/>
      <c r="I23" s="746"/>
      <c r="J23" s="746"/>
      <c r="K23" s="746"/>
      <c r="L23" s="746"/>
      <c r="M23" s="746"/>
      <c r="N23" s="746"/>
      <c r="O23" s="746"/>
      <c r="P23" s="746"/>
      <c r="Q23" s="746"/>
      <c r="R23" s="747"/>
      <c r="S23" s="3"/>
    </row>
    <row r="24" spans="1:23" x14ac:dyDescent="0.25">
      <c r="A24" s="3"/>
      <c r="B24" s="745"/>
      <c r="C24" s="746"/>
      <c r="D24" s="746"/>
      <c r="E24" s="746"/>
      <c r="F24" s="746"/>
      <c r="G24" s="746"/>
      <c r="H24" s="746"/>
      <c r="I24" s="746"/>
      <c r="J24" s="746"/>
      <c r="K24" s="746"/>
      <c r="L24" s="746"/>
      <c r="M24" s="746"/>
      <c r="N24" s="746"/>
      <c r="O24" s="746"/>
      <c r="P24" s="746"/>
      <c r="Q24" s="746"/>
      <c r="R24" s="747"/>
      <c r="S24" s="3"/>
    </row>
    <row r="25" spans="1:23" x14ac:dyDescent="0.25">
      <c r="A25" s="3"/>
      <c r="B25" s="745"/>
      <c r="C25" s="746"/>
      <c r="D25" s="746"/>
      <c r="E25" s="746"/>
      <c r="F25" s="746"/>
      <c r="G25" s="746"/>
      <c r="H25" s="746"/>
      <c r="I25" s="746"/>
      <c r="J25" s="746"/>
      <c r="K25" s="746"/>
      <c r="L25" s="746"/>
      <c r="M25" s="746"/>
      <c r="N25" s="746"/>
      <c r="O25" s="746"/>
      <c r="P25" s="746"/>
      <c r="Q25" s="746"/>
      <c r="R25" s="747"/>
      <c r="S25" s="3"/>
    </row>
    <row r="26" spans="1:23" x14ac:dyDescent="0.25">
      <c r="A26" s="3"/>
      <c r="B26" s="745"/>
      <c r="C26" s="746"/>
      <c r="D26" s="746"/>
      <c r="E26" s="746"/>
      <c r="F26" s="746"/>
      <c r="G26" s="746"/>
      <c r="H26" s="746"/>
      <c r="I26" s="746"/>
      <c r="J26" s="746"/>
      <c r="K26" s="746"/>
      <c r="L26" s="746"/>
      <c r="M26" s="746"/>
      <c r="N26" s="746"/>
      <c r="O26" s="746"/>
      <c r="P26" s="746"/>
      <c r="Q26" s="746"/>
      <c r="R26" s="747"/>
      <c r="S26" s="3"/>
    </row>
    <row r="27" spans="1:23" x14ac:dyDescent="0.25">
      <c r="A27" s="3"/>
      <c r="B27" s="745"/>
      <c r="C27" s="746"/>
      <c r="D27" s="746"/>
      <c r="E27" s="746"/>
      <c r="F27" s="746"/>
      <c r="G27" s="746"/>
      <c r="H27" s="746"/>
      <c r="I27" s="746"/>
      <c r="J27" s="746"/>
      <c r="K27" s="746"/>
      <c r="L27" s="746"/>
      <c r="M27" s="746"/>
      <c r="N27" s="746"/>
      <c r="O27" s="746"/>
      <c r="P27" s="746"/>
      <c r="Q27" s="746"/>
      <c r="R27" s="747"/>
      <c r="S27" s="3"/>
    </row>
    <row r="28" spans="1:23" x14ac:dyDescent="0.25">
      <c r="A28" s="3"/>
      <c r="B28" s="745"/>
      <c r="C28" s="746"/>
      <c r="D28" s="746"/>
      <c r="E28" s="746"/>
      <c r="F28" s="746"/>
      <c r="G28" s="746"/>
      <c r="H28" s="746"/>
      <c r="I28" s="746"/>
      <c r="J28" s="746"/>
      <c r="K28" s="746"/>
      <c r="L28" s="746"/>
      <c r="M28" s="746"/>
      <c r="N28" s="746"/>
      <c r="O28" s="746"/>
      <c r="P28" s="746"/>
      <c r="Q28" s="746"/>
      <c r="R28" s="747"/>
      <c r="S28" s="3"/>
    </row>
    <row r="29" spans="1:23" x14ac:dyDescent="0.25">
      <c r="A29" s="3"/>
      <c r="B29" s="745"/>
      <c r="C29" s="746"/>
      <c r="D29" s="746"/>
      <c r="E29" s="746"/>
      <c r="F29" s="746"/>
      <c r="G29" s="746"/>
      <c r="H29" s="746"/>
      <c r="I29" s="746"/>
      <c r="J29" s="746"/>
      <c r="K29" s="746"/>
      <c r="L29" s="746"/>
      <c r="M29" s="746"/>
      <c r="N29" s="746"/>
      <c r="O29" s="746"/>
      <c r="P29" s="746"/>
      <c r="Q29" s="746"/>
      <c r="R29" s="747"/>
      <c r="S29" s="3"/>
    </row>
    <row r="30" spans="1:23" x14ac:dyDescent="0.25">
      <c r="A30" s="3"/>
      <c r="B30" s="745"/>
      <c r="C30" s="746"/>
      <c r="D30" s="746"/>
      <c r="E30" s="746"/>
      <c r="F30" s="746"/>
      <c r="G30" s="746"/>
      <c r="H30" s="746"/>
      <c r="I30" s="746"/>
      <c r="J30" s="746"/>
      <c r="K30" s="746"/>
      <c r="L30" s="746"/>
      <c r="M30" s="746"/>
      <c r="N30" s="746"/>
      <c r="O30" s="746"/>
      <c r="P30" s="746"/>
      <c r="Q30" s="746"/>
      <c r="R30" s="747"/>
      <c r="S30" s="3"/>
      <c r="V30" s="768"/>
    </row>
    <row r="31" spans="1:23" x14ac:dyDescent="0.25">
      <c r="A31" s="3"/>
      <c r="B31" s="745"/>
      <c r="C31" s="746"/>
      <c r="D31" s="746"/>
      <c r="E31" s="746"/>
      <c r="F31" s="746"/>
      <c r="G31" s="746"/>
      <c r="H31" s="746"/>
      <c r="I31" s="746"/>
      <c r="J31" s="746"/>
      <c r="K31" s="746"/>
      <c r="L31" s="746"/>
      <c r="M31" s="746"/>
      <c r="N31" s="746"/>
      <c r="O31" s="746"/>
      <c r="P31" s="746"/>
      <c r="Q31" s="746"/>
      <c r="R31" s="747"/>
      <c r="S31" s="3"/>
    </row>
    <row r="32" spans="1:23" x14ac:dyDescent="0.25">
      <c r="A32" s="3"/>
      <c r="B32" s="745"/>
      <c r="C32" s="746"/>
      <c r="D32" s="746"/>
      <c r="E32" s="746"/>
      <c r="F32" s="746"/>
      <c r="G32" s="746"/>
      <c r="H32" s="746"/>
      <c r="I32" s="746"/>
      <c r="J32" s="746"/>
      <c r="K32" s="746"/>
      <c r="L32" s="746"/>
      <c r="M32" s="746"/>
      <c r="N32" s="746"/>
      <c r="O32" s="746"/>
      <c r="P32" s="746"/>
      <c r="Q32" s="746"/>
      <c r="R32" s="747"/>
      <c r="S32" s="3"/>
    </row>
    <row r="33" spans="1:19" x14ac:dyDescent="0.25">
      <c r="A33" s="3"/>
      <c r="B33" s="745"/>
      <c r="C33" s="746"/>
      <c r="D33" s="746"/>
      <c r="E33" s="746"/>
      <c r="F33" s="746"/>
      <c r="G33" s="746"/>
      <c r="H33" s="746"/>
      <c r="I33" s="746"/>
      <c r="J33" s="746"/>
      <c r="K33" s="746"/>
      <c r="L33" s="746"/>
      <c r="M33" s="746"/>
      <c r="N33" s="746"/>
      <c r="O33" s="746"/>
      <c r="P33" s="746"/>
      <c r="Q33" s="746"/>
      <c r="R33" s="747"/>
      <c r="S33" s="3"/>
    </row>
    <row r="34" spans="1:19" x14ac:dyDescent="0.25">
      <c r="A34" s="3"/>
      <c r="B34" s="745"/>
      <c r="C34" s="746"/>
      <c r="D34" s="746"/>
      <c r="E34" s="746"/>
      <c r="F34" s="746"/>
      <c r="G34" s="746"/>
      <c r="H34" s="746"/>
      <c r="I34" s="746"/>
      <c r="J34" s="746"/>
      <c r="K34" s="746"/>
      <c r="L34" s="746"/>
      <c r="M34" s="746"/>
      <c r="N34" s="746"/>
      <c r="O34" s="746"/>
      <c r="P34" s="746"/>
      <c r="Q34" s="746"/>
      <c r="R34" s="747"/>
      <c r="S34" s="3"/>
    </row>
    <row r="35" spans="1:19" x14ac:dyDescent="0.25">
      <c r="A35" s="3"/>
      <c r="B35" s="745"/>
      <c r="C35" s="746"/>
      <c r="D35" s="746"/>
      <c r="E35" s="746"/>
      <c r="F35" s="746"/>
      <c r="G35" s="746"/>
      <c r="H35" s="746"/>
      <c r="I35" s="746"/>
      <c r="J35" s="746"/>
      <c r="K35" s="746"/>
      <c r="L35" s="746"/>
      <c r="M35" s="746"/>
      <c r="N35" s="746"/>
      <c r="O35" s="746"/>
      <c r="P35" s="746"/>
      <c r="Q35" s="746"/>
      <c r="R35" s="747"/>
      <c r="S35" s="3"/>
    </row>
    <row r="36" spans="1:19" x14ac:dyDescent="0.25">
      <c r="A36" s="3"/>
      <c r="B36" s="745"/>
      <c r="C36" s="746"/>
      <c r="D36" s="746"/>
      <c r="E36" s="746"/>
      <c r="F36" s="746"/>
      <c r="G36" s="746"/>
      <c r="H36" s="746"/>
      <c r="I36" s="746"/>
      <c r="J36" s="746"/>
      <c r="K36" s="746"/>
      <c r="L36" s="746"/>
      <c r="M36" s="746"/>
      <c r="N36" s="746"/>
      <c r="O36" s="746"/>
      <c r="P36" s="746"/>
      <c r="Q36" s="746"/>
      <c r="R36" s="747"/>
      <c r="S36" s="3"/>
    </row>
    <row r="37" spans="1:19" x14ac:dyDescent="0.25">
      <c r="A37" s="3"/>
      <c r="B37" s="745"/>
      <c r="C37" s="746"/>
      <c r="D37" s="746"/>
      <c r="E37" s="746"/>
      <c r="F37" s="746"/>
      <c r="G37" s="746"/>
      <c r="H37" s="746"/>
      <c r="I37" s="746"/>
      <c r="J37" s="746"/>
      <c r="K37" s="746"/>
      <c r="L37" s="746"/>
      <c r="M37" s="746"/>
      <c r="N37" s="746"/>
      <c r="O37" s="746"/>
      <c r="P37" s="746"/>
      <c r="Q37" s="746"/>
      <c r="R37" s="747"/>
      <c r="S37" s="3"/>
    </row>
    <row r="38" spans="1:19" x14ac:dyDescent="0.25">
      <c r="A38" s="3"/>
      <c r="B38" s="745"/>
      <c r="C38" s="746"/>
      <c r="D38" s="746"/>
      <c r="E38" s="746"/>
      <c r="F38" s="746"/>
      <c r="G38" s="746"/>
      <c r="H38" s="746"/>
      <c r="I38" s="746"/>
      <c r="J38" s="746"/>
      <c r="K38" s="746"/>
      <c r="L38" s="746"/>
      <c r="M38" s="746"/>
      <c r="N38" s="746"/>
      <c r="O38" s="746"/>
      <c r="P38" s="746"/>
      <c r="Q38" s="746"/>
      <c r="R38" s="747"/>
      <c r="S38" s="3"/>
    </row>
    <row r="39" spans="1:19" x14ac:dyDescent="0.25">
      <c r="A39" s="3"/>
      <c r="B39" s="745"/>
      <c r="C39" s="746"/>
      <c r="D39" s="746"/>
      <c r="E39" s="746"/>
      <c r="F39" s="746"/>
      <c r="G39" s="746"/>
      <c r="H39" s="746"/>
      <c r="I39" s="746"/>
      <c r="J39" s="746"/>
      <c r="K39" s="746"/>
      <c r="L39" s="746"/>
      <c r="M39" s="746"/>
      <c r="N39" s="746"/>
      <c r="O39" s="746"/>
      <c r="P39" s="746"/>
      <c r="Q39" s="746"/>
      <c r="R39" s="747"/>
      <c r="S39" s="3"/>
    </row>
    <row r="40" spans="1:19" x14ac:dyDescent="0.25">
      <c r="A40" s="3"/>
      <c r="B40" s="745"/>
      <c r="C40" s="746"/>
      <c r="D40" s="746"/>
      <c r="E40" s="746"/>
      <c r="F40" s="746"/>
      <c r="G40" s="746"/>
      <c r="H40" s="746"/>
      <c r="I40" s="746"/>
      <c r="J40" s="746"/>
      <c r="K40" s="746"/>
      <c r="L40" s="746"/>
      <c r="M40" s="746"/>
      <c r="N40" s="746"/>
      <c r="O40" s="746"/>
      <c r="P40" s="746"/>
      <c r="Q40" s="746"/>
      <c r="R40" s="747"/>
      <c r="S40" s="3"/>
    </row>
    <row r="41" spans="1:19" x14ac:dyDescent="0.25">
      <c r="A41" s="3"/>
      <c r="B41" s="745"/>
      <c r="C41" s="746"/>
      <c r="D41" s="746"/>
      <c r="E41" s="746"/>
      <c r="F41" s="746"/>
      <c r="G41" s="746"/>
      <c r="H41" s="746"/>
      <c r="I41" s="746"/>
      <c r="J41" s="746"/>
      <c r="K41" s="746"/>
      <c r="L41" s="746"/>
      <c r="M41" s="746"/>
      <c r="N41" s="746"/>
      <c r="O41" s="746"/>
      <c r="P41" s="746"/>
      <c r="Q41" s="746"/>
      <c r="R41" s="747"/>
      <c r="S41" s="3"/>
    </row>
    <row r="42" spans="1:19" x14ac:dyDescent="0.25">
      <c r="A42" s="3"/>
      <c r="B42" s="745"/>
      <c r="C42" s="746"/>
      <c r="D42" s="746"/>
      <c r="E42" s="746"/>
      <c r="F42" s="746"/>
      <c r="G42" s="746"/>
      <c r="H42" s="746"/>
      <c r="I42" s="746"/>
      <c r="J42" s="746"/>
      <c r="K42" s="746"/>
      <c r="L42" s="746"/>
      <c r="M42" s="746"/>
      <c r="N42" s="746"/>
      <c r="O42" s="746"/>
      <c r="P42" s="746"/>
      <c r="Q42" s="746"/>
      <c r="R42" s="747"/>
      <c r="S42" s="3"/>
    </row>
    <row r="43" spans="1:19" x14ac:dyDescent="0.25">
      <c r="A43" s="3"/>
      <c r="B43" s="745"/>
      <c r="C43" s="746"/>
      <c r="D43" s="746"/>
      <c r="E43" s="746"/>
      <c r="F43" s="746"/>
      <c r="G43" s="746"/>
      <c r="H43" s="746"/>
      <c r="I43" s="746"/>
      <c r="J43" s="746"/>
      <c r="K43" s="746"/>
      <c r="L43" s="746"/>
      <c r="M43" s="746"/>
      <c r="N43" s="746"/>
      <c r="O43" s="746"/>
      <c r="P43" s="746"/>
      <c r="Q43" s="746"/>
      <c r="R43" s="747"/>
      <c r="S43" s="3"/>
    </row>
    <row r="44" spans="1:19" x14ac:dyDescent="0.25">
      <c r="A44" s="3"/>
      <c r="B44" s="745"/>
      <c r="C44" s="746"/>
      <c r="D44" s="746"/>
      <c r="E44" s="746"/>
      <c r="F44" s="746"/>
      <c r="G44" s="746"/>
      <c r="H44" s="746"/>
      <c r="I44" s="746"/>
      <c r="J44" s="746"/>
      <c r="K44" s="746"/>
      <c r="L44" s="746"/>
      <c r="M44" s="746"/>
      <c r="N44" s="746"/>
      <c r="O44" s="746"/>
      <c r="P44" s="746"/>
      <c r="Q44" s="746"/>
      <c r="R44" s="747"/>
      <c r="S44" s="3"/>
    </row>
    <row r="45" spans="1:19" x14ac:dyDescent="0.25">
      <c r="A45" s="3"/>
      <c r="B45" s="745"/>
      <c r="C45" s="746"/>
      <c r="D45" s="746"/>
      <c r="E45" s="746"/>
      <c r="F45" s="746"/>
      <c r="G45" s="746"/>
      <c r="H45" s="746"/>
      <c r="I45" s="746"/>
      <c r="J45" s="746"/>
      <c r="K45" s="746"/>
      <c r="L45" s="746"/>
      <c r="M45" s="746"/>
      <c r="N45" s="746"/>
      <c r="O45" s="746"/>
      <c r="P45" s="746"/>
      <c r="Q45" s="746"/>
      <c r="R45" s="747"/>
      <c r="S45" s="3"/>
    </row>
    <row r="46" spans="1:19" x14ac:dyDescent="0.25">
      <c r="A46" s="3"/>
      <c r="B46" s="745"/>
      <c r="C46" s="746"/>
      <c r="D46" s="746"/>
      <c r="E46" s="746"/>
      <c r="F46" s="746"/>
      <c r="G46" s="746"/>
      <c r="H46" s="746"/>
      <c r="I46" s="746"/>
      <c r="J46" s="746"/>
      <c r="K46" s="746"/>
      <c r="L46" s="746"/>
      <c r="M46" s="746"/>
      <c r="N46" s="746"/>
      <c r="O46" s="746"/>
      <c r="P46" s="746"/>
      <c r="Q46" s="746"/>
      <c r="R46" s="747"/>
      <c r="S46" s="3"/>
    </row>
    <row r="47" spans="1:19" x14ac:dyDescent="0.25">
      <c r="A47" s="3"/>
      <c r="B47" s="745"/>
      <c r="C47" s="746"/>
      <c r="D47" s="746"/>
      <c r="E47" s="746"/>
      <c r="F47" s="746"/>
      <c r="G47" s="746"/>
      <c r="H47" s="746"/>
      <c r="I47" s="746"/>
      <c r="J47" s="746"/>
      <c r="K47" s="746"/>
      <c r="L47" s="746"/>
      <c r="M47" s="746"/>
      <c r="N47" s="746"/>
      <c r="O47" s="746"/>
      <c r="P47" s="746"/>
      <c r="Q47" s="746"/>
      <c r="R47" s="747"/>
      <c r="S47" s="3"/>
    </row>
    <row r="48" spans="1:19" x14ac:dyDescent="0.25">
      <c r="A48" s="3"/>
      <c r="B48" s="745"/>
      <c r="C48" s="746"/>
      <c r="D48" s="746"/>
      <c r="E48" s="746"/>
      <c r="F48" s="746"/>
      <c r="G48" s="746"/>
      <c r="H48" s="746"/>
      <c r="I48" s="746"/>
      <c r="J48" s="746"/>
      <c r="K48" s="746"/>
      <c r="L48" s="746"/>
      <c r="M48" s="746"/>
      <c r="N48" s="746"/>
      <c r="O48" s="746"/>
      <c r="P48" s="746"/>
      <c r="Q48" s="746"/>
      <c r="R48" s="747"/>
      <c r="S48" s="3"/>
    </row>
    <row r="49" spans="1:19" x14ac:dyDescent="0.25">
      <c r="A49" s="3"/>
      <c r="B49" s="745"/>
      <c r="C49" s="746"/>
      <c r="D49" s="746"/>
      <c r="E49" s="746"/>
      <c r="F49" s="746"/>
      <c r="G49" s="746"/>
      <c r="H49" s="746"/>
      <c r="I49" s="746"/>
      <c r="J49" s="746"/>
      <c r="K49" s="746"/>
      <c r="L49" s="746"/>
      <c r="M49" s="746"/>
      <c r="N49" s="746"/>
      <c r="O49" s="746"/>
      <c r="P49" s="746"/>
      <c r="Q49" s="746"/>
      <c r="R49" s="747"/>
      <c r="S49" s="3"/>
    </row>
    <row r="50" spans="1:19" x14ac:dyDescent="0.25">
      <c r="A50" s="3"/>
      <c r="B50" s="745"/>
      <c r="C50" s="746"/>
      <c r="D50" s="746"/>
      <c r="E50" s="746"/>
      <c r="F50" s="746"/>
      <c r="G50" s="746"/>
      <c r="H50" s="746"/>
      <c r="I50" s="746"/>
      <c r="J50" s="746"/>
      <c r="K50" s="746"/>
      <c r="L50" s="746"/>
      <c r="M50" s="746"/>
      <c r="N50" s="746"/>
      <c r="O50" s="746"/>
      <c r="P50" s="746"/>
      <c r="Q50" s="746"/>
      <c r="R50" s="747"/>
      <c r="S50" s="3"/>
    </row>
    <row r="51" spans="1:19" x14ac:dyDescent="0.25">
      <c r="A51" s="3"/>
      <c r="B51" s="745"/>
      <c r="C51" s="746"/>
      <c r="D51" s="746"/>
      <c r="E51" s="746"/>
      <c r="F51" s="746"/>
      <c r="G51" s="746"/>
      <c r="H51" s="746"/>
      <c r="I51" s="746"/>
      <c r="J51" s="746"/>
      <c r="K51" s="746"/>
      <c r="L51" s="746"/>
      <c r="M51" s="746"/>
      <c r="N51" s="746"/>
      <c r="O51" s="746"/>
      <c r="P51" s="746"/>
      <c r="Q51" s="746"/>
      <c r="R51" s="747"/>
      <c r="S51" s="3"/>
    </row>
    <row r="52" spans="1:19" x14ac:dyDescent="0.25">
      <c r="A52" s="3"/>
      <c r="B52" s="745"/>
      <c r="C52" s="746"/>
      <c r="D52" s="746"/>
      <c r="E52" s="746"/>
      <c r="F52" s="746"/>
      <c r="G52" s="746"/>
      <c r="H52" s="746"/>
      <c r="I52" s="746"/>
      <c r="J52" s="746"/>
      <c r="K52" s="746"/>
      <c r="L52" s="746"/>
      <c r="M52" s="746"/>
      <c r="N52" s="746"/>
      <c r="O52" s="746"/>
      <c r="P52" s="746"/>
      <c r="Q52" s="746"/>
      <c r="R52" s="747"/>
      <c r="S52" s="3"/>
    </row>
    <row r="53" spans="1:19" x14ac:dyDescent="0.25">
      <c r="A53" s="3"/>
      <c r="B53" s="745"/>
      <c r="C53" s="746"/>
      <c r="D53" s="746"/>
      <c r="E53" s="746"/>
      <c r="F53" s="746"/>
      <c r="G53" s="746"/>
      <c r="H53" s="746"/>
      <c r="I53" s="746"/>
      <c r="J53" s="746"/>
      <c r="K53" s="746"/>
      <c r="L53" s="746"/>
      <c r="M53" s="746"/>
      <c r="N53" s="746"/>
      <c r="O53" s="746"/>
      <c r="P53" s="746"/>
      <c r="Q53" s="746"/>
      <c r="R53" s="747"/>
      <c r="S53" s="3"/>
    </row>
    <row r="54" spans="1:19" x14ac:dyDescent="0.25">
      <c r="A54" s="3"/>
      <c r="B54" s="745"/>
      <c r="C54" s="746"/>
      <c r="D54" s="746"/>
      <c r="E54" s="746"/>
      <c r="F54" s="746"/>
      <c r="G54" s="746"/>
      <c r="H54" s="746"/>
      <c r="I54" s="746"/>
      <c r="J54" s="746"/>
      <c r="K54" s="746"/>
      <c r="L54" s="746"/>
      <c r="M54" s="746"/>
      <c r="N54" s="746"/>
      <c r="O54" s="746"/>
      <c r="P54" s="746"/>
      <c r="Q54" s="746"/>
      <c r="R54" s="747"/>
      <c r="S54" s="3"/>
    </row>
    <row r="55" spans="1:19" x14ac:dyDescent="0.25">
      <c r="A55" s="3"/>
      <c r="B55" s="745"/>
      <c r="C55" s="746"/>
      <c r="D55" s="746"/>
      <c r="E55" s="746"/>
      <c r="F55" s="746"/>
      <c r="G55" s="746"/>
      <c r="H55" s="746"/>
      <c r="I55" s="746"/>
      <c r="J55" s="746"/>
      <c r="K55" s="746"/>
      <c r="L55" s="746"/>
      <c r="M55" s="746"/>
      <c r="N55" s="746"/>
      <c r="O55" s="746"/>
      <c r="P55" s="746"/>
      <c r="Q55" s="746"/>
      <c r="R55" s="747"/>
      <c r="S55" s="3"/>
    </row>
    <row r="56" spans="1:19" x14ac:dyDescent="0.25">
      <c r="A56" s="3"/>
      <c r="B56" s="745"/>
      <c r="C56" s="746"/>
      <c r="D56" s="746"/>
      <c r="E56" s="746"/>
      <c r="F56" s="746"/>
      <c r="G56" s="746"/>
      <c r="H56" s="746"/>
      <c r="I56" s="746"/>
      <c r="J56" s="746"/>
      <c r="K56" s="746"/>
      <c r="L56" s="746"/>
      <c r="M56" s="746"/>
      <c r="N56" s="746"/>
      <c r="O56" s="746"/>
      <c r="P56" s="746"/>
      <c r="Q56" s="746"/>
      <c r="R56" s="747"/>
      <c r="S56" s="3"/>
    </row>
    <row r="57" spans="1:19" x14ac:dyDescent="0.25">
      <c r="A57" s="3"/>
      <c r="B57" s="745"/>
      <c r="C57" s="746"/>
      <c r="D57" s="746"/>
      <c r="E57" s="746"/>
      <c r="F57" s="746"/>
      <c r="G57" s="746"/>
      <c r="H57" s="746"/>
      <c r="I57" s="746"/>
      <c r="J57" s="746"/>
      <c r="K57" s="746"/>
      <c r="L57" s="746"/>
      <c r="M57" s="746"/>
      <c r="N57" s="746"/>
      <c r="O57" s="746"/>
      <c r="P57" s="746"/>
      <c r="Q57" s="746"/>
      <c r="R57" s="747"/>
      <c r="S57" s="3"/>
    </row>
    <row r="58" spans="1:19" x14ac:dyDescent="0.25">
      <c r="A58" s="3"/>
      <c r="B58" s="745"/>
      <c r="C58" s="746"/>
      <c r="D58" s="746"/>
      <c r="E58" s="746"/>
      <c r="F58" s="746"/>
      <c r="G58" s="746"/>
      <c r="H58" s="746"/>
      <c r="I58" s="746"/>
      <c r="J58" s="746"/>
      <c r="K58" s="746"/>
      <c r="L58" s="746"/>
      <c r="M58" s="746"/>
      <c r="N58" s="746"/>
      <c r="O58" s="746"/>
      <c r="P58" s="746"/>
      <c r="Q58" s="746"/>
      <c r="R58" s="747"/>
      <c r="S58" s="3"/>
    </row>
    <row r="59" spans="1:19" x14ac:dyDescent="0.25">
      <c r="A59" s="3"/>
      <c r="B59" s="745"/>
      <c r="C59" s="746"/>
      <c r="D59" s="746"/>
      <c r="E59" s="746"/>
      <c r="F59" s="746"/>
      <c r="G59" s="746"/>
      <c r="H59" s="746"/>
      <c r="I59" s="746"/>
      <c r="J59" s="746"/>
      <c r="K59" s="746"/>
      <c r="L59" s="746"/>
      <c r="M59" s="746"/>
      <c r="N59" s="746"/>
      <c r="O59" s="746"/>
      <c r="P59" s="746"/>
      <c r="Q59" s="746"/>
      <c r="R59" s="747"/>
      <c r="S59" s="3"/>
    </row>
    <row r="60" spans="1:19" x14ac:dyDescent="0.25">
      <c r="A60" s="3"/>
      <c r="B60" s="745"/>
      <c r="C60" s="746"/>
      <c r="D60" s="746"/>
      <c r="E60" s="746"/>
      <c r="F60" s="746"/>
      <c r="G60" s="746"/>
      <c r="H60" s="746"/>
      <c r="I60" s="746"/>
      <c r="J60" s="746"/>
      <c r="K60" s="746"/>
      <c r="L60" s="746"/>
      <c r="M60" s="746"/>
      <c r="N60" s="746"/>
      <c r="O60" s="746"/>
      <c r="P60" s="746"/>
      <c r="Q60" s="746"/>
      <c r="R60" s="747"/>
      <c r="S60" s="3"/>
    </row>
    <row r="61" spans="1:19" x14ac:dyDescent="0.25">
      <c r="A61" s="3"/>
      <c r="B61" s="745"/>
      <c r="C61" s="746"/>
      <c r="D61" s="746"/>
      <c r="E61" s="746"/>
      <c r="F61" s="746"/>
      <c r="G61" s="746"/>
      <c r="H61" s="746"/>
      <c r="I61" s="746"/>
      <c r="J61" s="746"/>
      <c r="K61" s="746"/>
      <c r="L61" s="746"/>
      <c r="M61" s="746"/>
      <c r="N61" s="746"/>
      <c r="O61" s="746"/>
      <c r="P61" s="746"/>
      <c r="Q61" s="746"/>
      <c r="R61" s="747"/>
      <c r="S61" s="3"/>
    </row>
    <row r="62" spans="1:19" x14ac:dyDescent="0.25">
      <c r="A62" s="3"/>
      <c r="B62" s="745"/>
      <c r="C62" s="746"/>
      <c r="D62" s="746"/>
      <c r="E62" s="746"/>
      <c r="F62" s="746"/>
      <c r="G62" s="746"/>
      <c r="H62" s="746"/>
      <c r="I62" s="746"/>
      <c r="J62" s="746"/>
      <c r="K62" s="746"/>
      <c r="L62" s="746"/>
      <c r="M62" s="746"/>
      <c r="N62" s="746"/>
      <c r="O62" s="746"/>
      <c r="P62" s="746"/>
      <c r="Q62" s="746"/>
      <c r="R62" s="747"/>
      <c r="S62" s="3"/>
    </row>
    <row r="63" spans="1:19" x14ac:dyDescent="0.25">
      <c r="A63" s="3"/>
      <c r="B63" s="745"/>
      <c r="C63" s="746"/>
      <c r="D63" s="746"/>
      <c r="E63" s="746"/>
      <c r="F63" s="746"/>
      <c r="G63" s="746"/>
      <c r="H63" s="746"/>
      <c r="I63" s="746"/>
      <c r="J63" s="746"/>
      <c r="K63" s="746"/>
      <c r="L63" s="746"/>
      <c r="M63" s="746"/>
      <c r="N63" s="746"/>
      <c r="O63" s="746"/>
      <c r="P63" s="746"/>
      <c r="Q63" s="746"/>
      <c r="R63" s="747"/>
      <c r="S63" s="3"/>
    </row>
    <row r="64" spans="1:19" x14ac:dyDescent="0.25">
      <c r="A64" s="3"/>
      <c r="B64" s="745"/>
      <c r="C64" s="746"/>
      <c r="D64" s="746"/>
      <c r="E64" s="746"/>
      <c r="F64" s="746"/>
      <c r="G64" s="746"/>
      <c r="H64" s="746"/>
      <c r="I64" s="746"/>
      <c r="J64" s="746"/>
      <c r="K64" s="746"/>
      <c r="L64" s="746"/>
      <c r="M64" s="746"/>
      <c r="N64" s="746"/>
      <c r="O64" s="746"/>
      <c r="P64" s="746"/>
      <c r="Q64" s="746"/>
      <c r="R64" s="747"/>
      <c r="S64" s="3"/>
    </row>
    <row r="65" spans="1:19" x14ac:dyDescent="0.25">
      <c r="A65" s="3"/>
      <c r="B65" s="745"/>
      <c r="C65" s="746"/>
      <c r="D65" s="746"/>
      <c r="E65" s="746"/>
      <c r="F65" s="746"/>
      <c r="G65" s="746"/>
      <c r="H65" s="746"/>
      <c r="I65" s="746"/>
      <c r="J65" s="746"/>
      <c r="K65" s="746"/>
      <c r="L65" s="746"/>
      <c r="M65" s="746"/>
      <c r="N65" s="746"/>
      <c r="O65" s="746"/>
      <c r="P65" s="746"/>
      <c r="Q65" s="746"/>
      <c r="R65" s="747"/>
      <c r="S65" s="3"/>
    </row>
    <row r="66" spans="1:19" x14ac:dyDescent="0.25">
      <c r="A66" s="3"/>
      <c r="B66" s="745"/>
      <c r="C66" s="746"/>
      <c r="D66" s="746"/>
      <c r="E66" s="746"/>
      <c r="F66" s="746"/>
      <c r="G66" s="746"/>
      <c r="H66" s="746"/>
      <c r="I66" s="746"/>
      <c r="J66" s="746"/>
      <c r="K66" s="746"/>
      <c r="L66" s="746"/>
      <c r="M66" s="746"/>
      <c r="N66" s="746"/>
      <c r="O66" s="746"/>
      <c r="P66" s="746"/>
      <c r="Q66" s="746"/>
      <c r="R66" s="747"/>
      <c r="S66" s="3"/>
    </row>
    <row r="67" spans="1:19" x14ac:dyDescent="0.25">
      <c r="A67" s="3"/>
      <c r="B67" s="745"/>
      <c r="C67" s="746"/>
      <c r="D67" s="746"/>
      <c r="E67" s="746"/>
      <c r="F67" s="746"/>
      <c r="G67" s="746"/>
      <c r="H67" s="746"/>
      <c r="I67" s="746"/>
      <c r="J67" s="746"/>
      <c r="K67" s="746"/>
      <c r="L67" s="746"/>
      <c r="M67" s="746"/>
      <c r="N67" s="746"/>
      <c r="O67" s="746"/>
      <c r="P67" s="746"/>
      <c r="Q67" s="746"/>
      <c r="R67" s="747"/>
      <c r="S67" s="3"/>
    </row>
    <row r="68" spans="1:19" x14ac:dyDescent="0.25">
      <c r="A68" s="3"/>
      <c r="B68" s="745"/>
      <c r="C68" s="746"/>
      <c r="D68" s="746"/>
      <c r="E68" s="746"/>
      <c r="F68" s="746"/>
      <c r="G68" s="746"/>
      <c r="H68" s="746"/>
      <c r="I68" s="746"/>
      <c r="J68" s="746"/>
      <c r="K68" s="746"/>
      <c r="L68" s="746"/>
      <c r="M68" s="746"/>
      <c r="N68" s="746"/>
      <c r="O68" s="746"/>
      <c r="P68" s="746"/>
      <c r="Q68" s="746"/>
      <c r="R68" s="747"/>
      <c r="S68" s="3"/>
    </row>
    <row r="69" spans="1:19" x14ac:dyDescent="0.25">
      <c r="A69" s="3"/>
      <c r="B69" s="745"/>
      <c r="C69" s="746"/>
      <c r="D69" s="746"/>
      <c r="E69" s="746"/>
      <c r="F69" s="746"/>
      <c r="G69" s="746"/>
      <c r="H69" s="746"/>
      <c r="I69" s="746"/>
      <c r="J69" s="746"/>
      <c r="K69" s="746"/>
      <c r="L69" s="746"/>
      <c r="M69" s="746"/>
      <c r="N69" s="746"/>
      <c r="O69" s="746"/>
      <c r="P69" s="746"/>
      <c r="Q69" s="746"/>
      <c r="R69" s="747"/>
      <c r="S69" s="3"/>
    </row>
    <row r="70" spans="1:19" x14ac:dyDescent="0.25">
      <c r="A70" s="3"/>
      <c r="B70" s="745"/>
      <c r="C70" s="746"/>
      <c r="D70" s="746"/>
      <c r="E70" s="746"/>
      <c r="F70" s="746"/>
      <c r="G70" s="746"/>
      <c r="H70" s="746"/>
      <c r="I70" s="746"/>
      <c r="J70" s="746"/>
      <c r="K70" s="746"/>
      <c r="L70" s="746"/>
      <c r="M70" s="746"/>
      <c r="N70" s="746"/>
      <c r="O70" s="746"/>
      <c r="P70" s="746"/>
      <c r="Q70" s="746"/>
      <c r="R70" s="747"/>
      <c r="S70" s="3"/>
    </row>
    <row r="71" spans="1:19" x14ac:dyDescent="0.25">
      <c r="A71" s="3"/>
      <c r="B71" s="745"/>
      <c r="C71" s="746"/>
      <c r="D71" s="746"/>
      <c r="E71" s="746"/>
      <c r="F71" s="746"/>
      <c r="G71" s="746"/>
      <c r="H71" s="746"/>
      <c r="I71" s="746"/>
      <c r="J71" s="746"/>
      <c r="K71" s="746"/>
      <c r="L71" s="746"/>
      <c r="M71" s="746"/>
      <c r="N71" s="746"/>
      <c r="O71" s="746"/>
      <c r="P71" s="746"/>
      <c r="Q71" s="746"/>
      <c r="R71" s="747"/>
      <c r="S71" s="3"/>
    </row>
    <row r="72" spans="1:19" x14ac:dyDescent="0.25">
      <c r="A72" s="3"/>
      <c r="B72" s="745"/>
      <c r="C72" s="746"/>
      <c r="D72" s="746"/>
      <c r="E72" s="746"/>
      <c r="F72" s="746"/>
      <c r="G72" s="746"/>
      <c r="H72" s="746"/>
      <c r="I72" s="746"/>
      <c r="J72" s="746"/>
      <c r="K72" s="746"/>
      <c r="L72" s="746"/>
      <c r="M72" s="746"/>
      <c r="N72" s="746"/>
      <c r="O72" s="746"/>
      <c r="P72" s="746"/>
      <c r="Q72" s="746"/>
      <c r="R72" s="747"/>
      <c r="S72" s="3"/>
    </row>
    <row r="73" spans="1:19" x14ac:dyDescent="0.25">
      <c r="A73" s="3"/>
      <c r="B73" s="745"/>
      <c r="C73" s="746"/>
      <c r="D73" s="746"/>
      <c r="E73" s="746"/>
      <c r="F73" s="746"/>
      <c r="G73" s="746"/>
      <c r="H73" s="746"/>
      <c r="I73" s="746"/>
      <c r="J73" s="746"/>
      <c r="K73" s="746"/>
      <c r="L73" s="746"/>
      <c r="M73" s="746"/>
      <c r="N73" s="746"/>
      <c r="O73" s="746"/>
      <c r="P73" s="746"/>
      <c r="Q73" s="746"/>
      <c r="R73" s="747"/>
      <c r="S73" s="3"/>
    </row>
    <row r="74" spans="1:19" x14ac:dyDescent="0.25">
      <c r="A74" s="3"/>
      <c r="B74" s="745"/>
      <c r="C74" s="746"/>
      <c r="D74" s="746"/>
      <c r="E74" s="746"/>
      <c r="F74" s="746"/>
      <c r="G74" s="746"/>
      <c r="H74" s="746"/>
      <c r="I74" s="746"/>
      <c r="J74" s="746"/>
      <c r="K74" s="746"/>
      <c r="L74" s="746"/>
      <c r="M74" s="746"/>
      <c r="N74" s="746"/>
      <c r="O74" s="746"/>
      <c r="P74" s="746"/>
      <c r="Q74" s="746"/>
      <c r="R74" s="747"/>
      <c r="S74" s="3"/>
    </row>
    <row r="75" spans="1:19" x14ac:dyDescent="0.25">
      <c r="A75" s="3"/>
      <c r="B75" s="745"/>
      <c r="C75" s="746"/>
      <c r="D75" s="746"/>
      <c r="E75" s="746"/>
      <c r="F75" s="746"/>
      <c r="G75" s="746"/>
      <c r="H75" s="746"/>
      <c r="I75" s="746"/>
      <c r="J75" s="746"/>
      <c r="K75" s="746"/>
      <c r="L75" s="746"/>
      <c r="M75" s="746"/>
      <c r="N75" s="746"/>
      <c r="O75" s="746"/>
      <c r="P75" s="746"/>
      <c r="Q75" s="746"/>
      <c r="R75" s="747"/>
      <c r="S75" s="3"/>
    </row>
    <row r="76" spans="1:19" x14ac:dyDescent="0.25">
      <c r="A76" s="3"/>
      <c r="B76" s="745"/>
      <c r="C76" s="746"/>
      <c r="D76" s="746"/>
      <c r="E76" s="746"/>
      <c r="F76" s="746"/>
      <c r="G76" s="746"/>
      <c r="H76" s="746"/>
      <c r="I76" s="746"/>
      <c r="J76" s="746"/>
      <c r="K76" s="746"/>
      <c r="L76" s="746"/>
      <c r="M76" s="746"/>
      <c r="N76" s="746"/>
      <c r="O76" s="746"/>
      <c r="P76" s="746"/>
      <c r="Q76" s="746"/>
      <c r="R76" s="747"/>
      <c r="S76" s="3"/>
    </row>
    <row r="77" spans="1:19" x14ac:dyDescent="0.25">
      <c r="A77" s="3"/>
      <c r="B77" s="745"/>
      <c r="C77" s="746"/>
      <c r="D77" s="746"/>
      <c r="E77" s="746"/>
      <c r="F77" s="746"/>
      <c r="G77" s="746"/>
      <c r="H77" s="746"/>
      <c r="I77" s="746"/>
      <c r="J77" s="746"/>
      <c r="K77" s="746"/>
      <c r="L77" s="746"/>
      <c r="M77" s="746"/>
      <c r="N77" s="746"/>
      <c r="O77" s="746"/>
      <c r="P77" s="746"/>
      <c r="Q77" s="746"/>
      <c r="R77" s="747"/>
      <c r="S77" s="3"/>
    </row>
    <row r="78" spans="1:19" x14ac:dyDescent="0.25">
      <c r="A78" s="3"/>
      <c r="B78" s="745"/>
      <c r="C78" s="746"/>
      <c r="D78" s="746"/>
      <c r="E78" s="746"/>
      <c r="F78" s="746"/>
      <c r="G78" s="746"/>
      <c r="H78" s="746"/>
      <c r="I78" s="746"/>
      <c r="J78" s="746"/>
      <c r="K78" s="746"/>
      <c r="L78" s="746"/>
      <c r="M78" s="746"/>
      <c r="N78" s="746"/>
      <c r="O78" s="746"/>
      <c r="P78" s="746"/>
      <c r="Q78" s="746"/>
      <c r="R78" s="747"/>
      <c r="S78" s="3"/>
    </row>
    <row r="79" spans="1:19" x14ac:dyDescent="0.25">
      <c r="A79" s="3"/>
      <c r="B79" s="745"/>
      <c r="C79" s="746"/>
      <c r="D79" s="746"/>
      <c r="E79" s="746"/>
      <c r="F79" s="746"/>
      <c r="G79" s="746"/>
      <c r="H79" s="746"/>
      <c r="I79" s="746"/>
      <c r="J79" s="746"/>
      <c r="K79" s="746"/>
      <c r="L79" s="746"/>
      <c r="M79" s="746"/>
      <c r="N79" s="746"/>
      <c r="O79" s="746"/>
      <c r="P79" s="746"/>
      <c r="Q79" s="746"/>
      <c r="R79" s="747"/>
      <c r="S79" s="3"/>
    </row>
    <row r="80" spans="1:19" x14ac:dyDescent="0.25">
      <c r="A80" s="3"/>
      <c r="B80" s="745"/>
      <c r="C80" s="746"/>
      <c r="D80" s="746"/>
      <c r="E80" s="746"/>
      <c r="F80" s="746"/>
      <c r="G80" s="746"/>
      <c r="H80" s="746"/>
      <c r="I80" s="746"/>
      <c r="J80" s="746"/>
      <c r="K80" s="746"/>
      <c r="L80" s="746"/>
      <c r="M80" s="746"/>
      <c r="N80" s="746"/>
      <c r="O80" s="746"/>
      <c r="P80" s="746"/>
      <c r="Q80" s="746"/>
      <c r="R80" s="747"/>
      <c r="S80" s="3"/>
    </row>
    <row r="81" spans="1:19" x14ac:dyDescent="0.25">
      <c r="A81" s="3"/>
      <c r="B81" s="745"/>
      <c r="C81" s="746"/>
      <c r="D81" s="746"/>
      <c r="E81" s="746"/>
      <c r="F81" s="746"/>
      <c r="G81" s="746"/>
      <c r="H81" s="746"/>
      <c r="I81" s="746"/>
      <c r="J81" s="746"/>
      <c r="K81" s="746"/>
      <c r="L81" s="746"/>
      <c r="M81" s="746"/>
      <c r="N81" s="746"/>
      <c r="O81" s="746"/>
      <c r="P81" s="746"/>
      <c r="Q81" s="746"/>
      <c r="R81" s="747"/>
      <c r="S81" s="3"/>
    </row>
    <row r="82" spans="1:19" x14ac:dyDescent="0.25">
      <c r="A82" s="3"/>
      <c r="B82" s="745"/>
      <c r="C82" s="746"/>
      <c r="D82" s="746"/>
      <c r="E82" s="746"/>
      <c r="F82" s="746"/>
      <c r="G82" s="746"/>
      <c r="H82" s="746"/>
      <c r="I82" s="746"/>
      <c r="J82" s="746"/>
      <c r="K82" s="746"/>
      <c r="L82" s="746"/>
      <c r="M82" s="746"/>
      <c r="N82" s="746"/>
      <c r="O82" s="746"/>
      <c r="P82" s="746"/>
      <c r="Q82" s="746"/>
      <c r="R82" s="747"/>
      <c r="S82" s="3"/>
    </row>
    <row r="83" spans="1:19" x14ac:dyDescent="0.25">
      <c r="A83" s="3"/>
      <c r="B83" s="745"/>
      <c r="C83" s="746"/>
      <c r="D83" s="746"/>
      <c r="E83" s="746"/>
      <c r="F83" s="746"/>
      <c r="G83" s="746"/>
      <c r="H83" s="746"/>
      <c r="I83" s="746"/>
      <c r="J83" s="746"/>
      <c r="K83" s="746"/>
      <c r="L83" s="746"/>
      <c r="M83" s="746"/>
      <c r="N83" s="746"/>
      <c r="O83" s="746"/>
      <c r="P83" s="746"/>
      <c r="Q83" s="746"/>
      <c r="R83" s="747"/>
      <c r="S83" s="3"/>
    </row>
    <row r="84" spans="1:19" x14ac:dyDescent="0.25">
      <c r="A84" s="3"/>
      <c r="B84" s="745"/>
      <c r="C84" s="746"/>
      <c r="D84" s="746"/>
      <c r="E84" s="746"/>
      <c r="F84" s="746"/>
      <c r="G84" s="746"/>
      <c r="H84" s="746"/>
      <c r="I84" s="746"/>
      <c r="J84" s="746"/>
      <c r="K84" s="746"/>
      <c r="L84" s="746"/>
      <c r="M84" s="746"/>
      <c r="N84" s="746"/>
      <c r="O84" s="746"/>
      <c r="P84" s="746"/>
      <c r="Q84" s="746"/>
      <c r="R84" s="747"/>
      <c r="S84" s="3"/>
    </row>
    <row r="85" spans="1:19" x14ac:dyDescent="0.25">
      <c r="A85" s="3"/>
      <c r="B85" s="748"/>
      <c r="C85" s="749"/>
      <c r="D85" s="749"/>
      <c r="E85" s="749"/>
      <c r="F85" s="749"/>
      <c r="G85" s="749"/>
      <c r="H85" s="749"/>
      <c r="I85" s="749"/>
      <c r="J85" s="749"/>
      <c r="K85" s="749"/>
      <c r="L85" s="749"/>
      <c r="M85" s="749"/>
      <c r="N85" s="749"/>
      <c r="O85" s="749"/>
      <c r="P85" s="749"/>
      <c r="Q85" s="749"/>
      <c r="R85" s="750"/>
      <c r="S85" s="3"/>
    </row>
    <row r="86" spans="1:19" x14ac:dyDescent="0.25">
      <c r="A86" s="3"/>
      <c r="B86" s="3"/>
      <c r="C86" s="3"/>
      <c r="D86" s="3"/>
      <c r="E86" s="3"/>
      <c r="F86" s="3"/>
      <c r="G86" s="3"/>
      <c r="H86" s="3"/>
      <c r="I86" s="3"/>
      <c r="J86" s="3"/>
      <c r="K86" s="3"/>
      <c r="L86" s="3"/>
      <c r="M86" s="3"/>
      <c r="N86" s="3"/>
      <c r="O86" s="3"/>
      <c r="P86" s="3"/>
      <c r="Q86" s="3"/>
      <c r="R86" s="3"/>
      <c r="S86" s="3"/>
    </row>
  </sheetData>
  <sheetProtection sheet="1" formatCells="0" formatColumns="0" formatRows="0"/>
  <mergeCells count="1">
    <mergeCell ref="V4:V1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C95"/>
  <sheetViews>
    <sheetView showGridLines="0" showZeros="0" zoomScale="80" zoomScaleNormal="80" workbookViewId="0"/>
  </sheetViews>
  <sheetFormatPr defaultColWidth="9.26953125" defaultRowHeight="11.4" x14ac:dyDescent="0.25"/>
  <cols>
    <col min="1" max="2" width="1.6328125" style="5" customWidth="1"/>
    <col min="3" max="3" width="2.6328125" style="5" customWidth="1"/>
    <col min="4" max="4" width="14.7265625" style="13" customWidth="1"/>
    <col min="5" max="5" width="20.6328125" style="47" customWidth="1"/>
    <col min="6" max="10" width="20.6328125" style="13" customWidth="1"/>
    <col min="11" max="12" width="2.6328125" style="5" customWidth="1"/>
    <col min="13" max="13" width="1.6328125" style="5" customWidth="1"/>
    <col min="14" max="14" width="1.6328125" style="13" customWidth="1"/>
    <col min="15" max="15" width="1.6328125" style="46" customWidth="1"/>
    <col min="16" max="16" width="12.26953125" style="77" customWidth="1"/>
    <col min="17" max="17" width="10.7265625" style="77" customWidth="1"/>
    <col min="18" max="18" width="80.6328125" style="77" customWidth="1"/>
    <col min="19" max="19" width="30.1796875" style="77" customWidth="1"/>
    <col min="20" max="28" width="12.26953125" style="5" customWidth="1"/>
    <col min="29" max="16384" width="9.26953125" style="5"/>
  </cols>
  <sheetData>
    <row r="1" spans="1:19" ht="13.5" customHeight="1" x14ac:dyDescent="0.25">
      <c r="A1" s="3"/>
      <c r="B1" s="3"/>
      <c r="C1" s="3"/>
      <c r="D1" s="4"/>
      <c r="E1" s="4"/>
      <c r="F1" s="4"/>
      <c r="G1" s="4"/>
      <c r="H1" s="4"/>
      <c r="I1" s="4"/>
      <c r="J1" s="4"/>
      <c r="K1" s="3"/>
      <c r="L1" s="3"/>
      <c r="M1" s="3"/>
      <c r="N1" s="3"/>
      <c r="O1" s="43"/>
      <c r="Q1" s="754"/>
      <c r="R1" s="754"/>
      <c r="S1" s="755"/>
    </row>
    <row r="2" spans="1:19" s="9" customFormat="1" ht="18" customHeight="1" x14ac:dyDescent="0.25">
      <c r="A2" s="6"/>
      <c r="B2" s="7"/>
      <c r="C2" s="35"/>
      <c r="D2" s="35"/>
      <c r="E2" s="49"/>
      <c r="F2" s="687"/>
      <c r="G2" s="687"/>
      <c r="H2" s="687"/>
      <c r="I2" s="687"/>
      <c r="J2" s="687"/>
      <c r="K2" s="35"/>
      <c r="L2" s="35"/>
      <c r="M2" s="8"/>
      <c r="N2" s="6"/>
      <c r="O2" s="44"/>
      <c r="P2" s="78"/>
      <c r="Q2" s="754"/>
      <c r="R2" s="827" t="s">
        <v>1956</v>
      </c>
      <c r="S2" s="755"/>
    </row>
    <row r="3" spans="1:19" ht="18" customHeight="1" x14ac:dyDescent="0.25">
      <c r="A3" s="3"/>
      <c r="B3" s="10"/>
      <c r="D3" s="72" t="s">
        <v>420</v>
      </c>
      <c r="E3" s="52"/>
      <c r="F3" s="52"/>
      <c r="G3" s="52"/>
      <c r="H3" s="52"/>
      <c r="I3" s="52"/>
      <c r="J3" s="52"/>
      <c r="K3" s="72"/>
      <c r="L3" s="52"/>
      <c r="M3" s="11"/>
      <c r="N3" s="3"/>
      <c r="O3" s="43"/>
      <c r="Q3" s="754"/>
      <c r="R3" s="828"/>
      <c r="S3" s="755"/>
    </row>
    <row r="4" spans="1:19" ht="34.950000000000003" customHeight="1" x14ac:dyDescent="0.25">
      <c r="A4" s="3"/>
      <c r="B4" s="10"/>
      <c r="D4" s="71" t="str">
        <f>IF(VLOOKUP("KM77",Languages!$A:$D,1,TRUE)="KM77",VLOOKUP("KM77",Languages!$A:$D,Summary!$C$7,TRUE),NA())</f>
        <v>Osiokohtainen kypsyystasoraportti</v>
      </c>
      <c r="E4" s="51"/>
      <c r="F4" s="51"/>
      <c r="G4" s="51"/>
      <c r="H4" s="51"/>
      <c r="I4" s="51"/>
      <c r="J4" s="51"/>
      <c r="K4" s="73"/>
      <c r="L4" s="51"/>
      <c r="M4" s="11"/>
      <c r="N4" s="3"/>
      <c r="O4" s="43"/>
      <c r="Q4" s="754"/>
      <c r="R4" s="1285" t="s">
        <v>2553</v>
      </c>
      <c r="S4" s="755"/>
    </row>
    <row r="5" spans="1:19" ht="52.05" customHeight="1" x14ac:dyDescent="0.25">
      <c r="A5" s="3"/>
      <c r="B5" s="10"/>
      <c r="D5" s="93"/>
      <c r="E5" s="51"/>
      <c r="F5" s="51"/>
      <c r="G5" s="51"/>
      <c r="H5" s="51"/>
      <c r="I5" s="51"/>
      <c r="J5" s="51"/>
      <c r="K5" s="73"/>
      <c r="L5" s="51"/>
      <c r="M5" s="11"/>
      <c r="N5" s="3"/>
      <c r="O5" s="43"/>
      <c r="Q5" s="754"/>
      <c r="R5" s="1285"/>
      <c r="S5" s="755"/>
    </row>
    <row r="6" spans="1:19" ht="28.8" customHeight="1" x14ac:dyDescent="0.35">
      <c r="A6" s="3"/>
      <c r="B6" s="10"/>
      <c r="C6" s="685" t="s">
        <v>48</v>
      </c>
      <c r="D6" s="762" t="s">
        <v>1955</v>
      </c>
      <c r="E6" s="763" t="str">
        <f>Parameters!$B$18</f>
        <v xml:space="preserve">0 - Vastaus puuttuu </v>
      </c>
      <c r="F6" s="764" t="str">
        <f>Parameters!$B$19</f>
        <v>1 - Ei toteutettu tai ei tietoa</v>
      </c>
      <c r="G6" s="765" t="str">
        <f>Parameters!$B$20</f>
        <v>2 - Osittain toteutettu</v>
      </c>
      <c r="H6" s="766" t="str">
        <f>Parameters!$B$21</f>
        <v>3 - Enimmäkseen  toteutettu</v>
      </c>
      <c r="I6" s="767" t="str">
        <f>Parameters!$B$22</f>
        <v>4 - Täysin toteutettu</v>
      </c>
      <c r="J6" s="688"/>
      <c r="K6" s="32"/>
      <c r="L6" s="32"/>
      <c r="M6" s="11"/>
      <c r="N6" s="3"/>
      <c r="O6" s="43"/>
      <c r="Q6" s="754"/>
      <c r="R6" s="1285"/>
      <c r="S6" s="754"/>
    </row>
    <row r="7" spans="1:19" ht="10.050000000000001" customHeight="1" x14ac:dyDescent="0.35">
      <c r="A7" s="3"/>
      <c r="B7" s="10"/>
      <c r="C7" s="685"/>
      <c r="D7" s="686"/>
      <c r="E7" s="692">
        <v>1</v>
      </c>
      <c r="F7" s="692">
        <v>2</v>
      </c>
      <c r="G7" s="692">
        <v>3</v>
      </c>
      <c r="H7" s="692">
        <v>4</v>
      </c>
      <c r="I7" s="692">
        <v>5</v>
      </c>
      <c r="J7" s="688"/>
      <c r="K7" s="32"/>
      <c r="L7" s="32"/>
      <c r="M7" s="11"/>
      <c r="N7" s="3"/>
      <c r="O7" s="43"/>
      <c r="Q7" s="754"/>
      <c r="R7" s="1285"/>
      <c r="S7" s="754"/>
    </row>
    <row r="8" spans="1:19" ht="60" customHeight="1" x14ac:dyDescent="0.35">
      <c r="A8" s="3"/>
      <c r="B8" s="10"/>
      <c r="C8" s="685"/>
      <c r="D8" s="686"/>
      <c r="E8" s="688" t="str">
        <f>R25</f>
        <v>CRITICAL</v>
      </c>
      <c r="F8" s="688" t="str">
        <f>S25</f>
        <v>ASSET</v>
      </c>
      <c r="G8" s="688" t="str">
        <f>T25</f>
        <v>THREAT</v>
      </c>
      <c r="H8" s="688" t="str">
        <f>U25</f>
        <v>RISK</v>
      </c>
      <c r="I8" s="688" t="str">
        <f>V25</f>
        <v>ACCESS</v>
      </c>
      <c r="J8" s="691"/>
      <c r="K8" s="32"/>
      <c r="L8" s="32"/>
      <c r="M8" s="11"/>
      <c r="N8" s="3"/>
      <c r="O8" s="43"/>
      <c r="Q8" s="754"/>
      <c r="R8" s="1285"/>
      <c r="S8" s="754"/>
    </row>
    <row r="9" spans="1:19" ht="120" customHeight="1" x14ac:dyDescent="0.25">
      <c r="A9" s="3"/>
      <c r="B9" s="27"/>
      <c r="C9" s="36"/>
      <c r="D9" s="753" t="str">
        <f>VLOOKUP(3,Parameters!$C$7:$F$10,Summary!$C$7,FALSE)</f>
        <v>Kypsyystaso 3</v>
      </c>
      <c r="E9" s="693"/>
      <c r="F9" s="694"/>
      <c r="G9" s="694"/>
      <c r="H9" s="694"/>
      <c r="I9" s="695"/>
      <c r="J9" s="689"/>
      <c r="K9" s="64"/>
      <c r="L9" s="55"/>
      <c r="M9" s="29"/>
      <c r="N9" s="3"/>
      <c r="O9" s="43"/>
      <c r="Q9" s="754"/>
      <c r="R9" s="1285"/>
      <c r="S9" s="754"/>
    </row>
    <row r="10" spans="1:19" ht="120" customHeight="1" x14ac:dyDescent="0.25">
      <c r="A10" s="26"/>
      <c r="B10" s="27"/>
      <c r="C10" s="36"/>
      <c r="D10" s="753" t="str">
        <f>VLOOKUP(2,Parameters!$C$7:$F$10,Summary!$C$7,FALSE)</f>
        <v>Kypsyystaso 2</v>
      </c>
      <c r="E10" s="696"/>
      <c r="F10" s="694"/>
      <c r="G10" s="694"/>
      <c r="H10" s="694"/>
      <c r="I10" s="695"/>
      <c r="J10" s="689"/>
      <c r="K10" s="64"/>
      <c r="L10" s="55"/>
      <c r="M10" s="29"/>
      <c r="N10" s="26"/>
      <c r="O10" s="45"/>
      <c r="Q10" s="754"/>
      <c r="R10" s="1285"/>
      <c r="S10" s="754"/>
    </row>
    <row r="11" spans="1:19" ht="120" customHeight="1" x14ac:dyDescent="0.25">
      <c r="A11" s="26"/>
      <c r="B11" s="27"/>
      <c r="C11" s="36"/>
      <c r="D11" s="753" t="str">
        <f>VLOOKUP(1,Parameters!$C$7:$F$10,Summary!$C$7,FALSE)</f>
        <v>Kypsyystaso 1</v>
      </c>
      <c r="E11" s="564"/>
      <c r="F11" s="694"/>
      <c r="G11" s="564"/>
      <c r="H11" s="564"/>
      <c r="I11" s="695"/>
      <c r="J11" s="689"/>
      <c r="K11" s="64"/>
      <c r="L11" s="55"/>
      <c r="M11" s="29"/>
      <c r="N11" s="26"/>
      <c r="O11" s="45"/>
      <c r="Q11" s="754"/>
      <c r="R11" s="1285"/>
      <c r="S11" s="754"/>
    </row>
    <row r="12" spans="1:19" ht="30.45" customHeight="1" x14ac:dyDescent="0.25">
      <c r="A12" s="26"/>
      <c r="B12" s="27"/>
      <c r="C12" s="36"/>
      <c r="D12" s="65"/>
      <c r="E12" s="564"/>
      <c r="F12" s="694"/>
      <c r="G12" s="564"/>
      <c r="H12" s="564"/>
      <c r="I12" s="695"/>
      <c r="J12" s="689"/>
      <c r="K12" s="64"/>
      <c r="L12" s="55"/>
      <c r="M12" s="29"/>
      <c r="N12" s="26"/>
      <c r="O12" s="45"/>
      <c r="Q12" s="754"/>
      <c r="R12" s="1285"/>
      <c r="S12" s="754"/>
    </row>
    <row r="13" spans="1:19" ht="25.05" customHeight="1" x14ac:dyDescent="0.25">
      <c r="A13" s="26"/>
      <c r="B13" s="27"/>
      <c r="C13" s="685" t="s">
        <v>64</v>
      </c>
      <c r="D13" s="72"/>
      <c r="E13" s="5"/>
      <c r="F13" s="688"/>
      <c r="G13" s="688"/>
      <c r="H13" s="688"/>
      <c r="I13" s="688"/>
      <c r="J13" s="689"/>
      <c r="K13" s="64"/>
      <c r="L13" s="55"/>
      <c r="M13" s="29"/>
      <c r="N13" s="26"/>
      <c r="O13" s="45"/>
      <c r="Q13" s="754"/>
      <c r="R13" s="1285"/>
      <c r="S13" s="754"/>
    </row>
    <row r="14" spans="1:19" ht="13.05" customHeight="1" x14ac:dyDescent="0.25">
      <c r="A14" s="26"/>
      <c r="B14" s="27"/>
      <c r="C14" s="685"/>
      <c r="D14" s="686"/>
      <c r="E14" s="692">
        <v>1</v>
      </c>
      <c r="F14" s="692">
        <v>2</v>
      </c>
      <c r="G14" s="692">
        <v>3</v>
      </c>
      <c r="H14" s="692"/>
      <c r="I14" s="692"/>
      <c r="J14" s="689"/>
      <c r="K14" s="64"/>
      <c r="L14" s="55"/>
      <c r="M14" s="29"/>
      <c r="N14" s="26"/>
      <c r="O14" s="45"/>
      <c r="Q14" s="754"/>
      <c r="R14" s="1285"/>
      <c r="S14" s="754"/>
    </row>
    <row r="15" spans="1:19" ht="60" customHeight="1" x14ac:dyDescent="0.25">
      <c r="A15" s="26"/>
      <c r="B15" s="27"/>
      <c r="C15" s="685"/>
      <c r="D15" s="686"/>
      <c r="E15" s="688" t="str">
        <f t="shared" ref="E15:J15" si="0">W25</f>
        <v>SITUATION</v>
      </c>
      <c r="F15" s="688" t="str">
        <f t="shared" si="0"/>
        <v>RESPONSE</v>
      </c>
      <c r="G15" s="688" t="str">
        <f t="shared" si="0"/>
        <v>THIRD-PARTIES</v>
      </c>
      <c r="H15" s="688" t="str">
        <f t="shared" si="0"/>
        <v>WORKFORCE</v>
      </c>
      <c r="I15" s="688" t="str">
        <f t="shared" si="0"/>
        <v>ARCHITECTURE</v>
      </c>
      <c r="J15" s="688" t="str">
        <f t="shared" si="0"/>
        <v>PROGRAM</v>
      </c>
      <c r="K15" s="64"/>
      <c r="L15" s="55"/>
      <c r="M15" s="29"/>
      <c r="N15" s="26"/>
      <c r="O15" s="45"/>
      <c r="Q15" s="754"/>
      <c r="R15" s="1285"/>
      <c r="S15" s="754"/>
    </row>
    <row r="16" spans="1:19" ht="120" customHeight="1" x14ac:dyDescent="0.25">
      <c r="A16" s="26"/>
      <c r="B16" s="27"/>
      <c r="C16" s="36"/>
      <c r="D16" s="753" t="str">
        <f>VLOOKUP(3,Parameters!$C$7:$F$10,Summary!$C$7,FALSE)</f>
        <v>Kypsyystaso 3</v>
      </c>
      <c r="E16" s="693"/>
      <c r="F16" s="694"/>
      <c r="G16" s="694"/>
      <c r="H16" s="694"/>
      <c r="I16" s="695"/>
      <c r="J16" s="689"/>
      <c r="K16" s="64"/>
      <c r="L16" s="55"/>
      <c r="M16" s="29"/>
      <c r="N16" s="26"/>
      <c r="O16" s="45"/>
      <c r="Q16" s="754"/>
      <c r="R16" s="1286"/>
      <c r="S16" s="754"/>
    </row>
    <row r="17" spans="1:29" ht="120" customHeight="1" x14ac:dyDescent="0.25">
      <c r="A17" s="26"/>
      <c r="B17" s="27"/>
      <c r="C17" s="36"/>
      <c r="D17" s="753" t="str">
        <f>VLOOKUP(2,Parameters!$C$7:$F$10,Summary!$C$7,FALSE)</f>
        <v>Kypsyystaso 2</v>
      </c>
      <c r="E17" s="696"/>
      <c r="F17" s="694"/>
      <c r="G17" s="694"/>
      <c r="H17" s="694"/>
      <c r="I17" s="695"/>
      <c r="J17" s="689"/>
      <c r="K17" s="64"/>
      <c r="L17" s="55"/>
      <c r="M17" s="29"/>
      <c r="N17" s="26"/>
      <c r="O17" s="45"/>
      <c r="Q17" s="754"/>
      <c r="R17" s="754"/>
      <c r="S17" s="754"/>
    </row>
    <row r="18" spans="1:29" ht="120" customHeight="1" x14ac:dyDescent="0.25">
      <c r="A18" s="26"/>
      <c r="B18" s="27"/>
      <c r="C18" s="36"/>
      <c r="D18" s="753" t="str">
        <f>VLOOKUP(1,Parameters!$C$7:$F$10,Summary!$C$7,FALSE)</f>
        <v>Kypsyystaso 1</v>
      </c>
      <c r="E18" s="564"/>
      <c r="F18" s="694"/>
      <c r="G18" s="564"/>
      <c r="H18" s="564"/>
      <c r="I18" s="695"/>
      <c r="J18" s="689"/>
      <c r="K18" s="64"/>
      <c r="L18" s="55"/>
      <c r="M18" s="29"/>
      <c r="N18" s="26"/>
      <c r="O18" s="45"/>
    </row>
    <row r="19" spans="1:29" ht="120" customHeight="1" x14ac:dyDescent="0.25">
      <c r="A19" s="26"/>
      <c r="B19" s="27"/>
      <c r="C19" s="36"/>
      <c r="D19" s="65"/>
      <c r="E19" s="564"/>
      <c r="F19" s="694"/>
      <c r="G19" s="564"/>
      <c r="H19" s="564"/>
      <c r="I19" s="695"/>
      <c r="J19" s="689"/>
      <c r="K19" s="64"/>
      <c r="L19" s="55"/>
      <c r="M19" s="29"/>
      <c r="N19" s="26"/>
      <c r="O19" s="45"/>
    </row>
    <row r="20" spans="1:29" s="13" customFormat="1" ht="15" customHeight="1" x14ac:dyDescent="0.25">
      <c r="A20" s="12"/>
      <c r="B20" s="14"/>
      <c r="C20" s="18"/>
      <c r="D20" s="18"/>
      <c r="E20" s="50"/>
      <c r="F20" s="690"/>
      <c r="G20" s="690"/>
      <c r="H20" s="690"/>
      <c r="I20" s="690"/>
      <c r="J20" s="690"/>
      <c r="K20" s="19"/>
      <c r="L20" s="19"/>
      <c r="M20" s="15"/>
      <c r="N20" s="12"/>
      <c r="O20" s="42"/>
    </row>
    <row r="21" spans="1:29" s="13" customFormat="1" ht="18" customHeight="1" x14ac:dyDescent="0.25">
      <c r="A21" s="12"/>
      <c r="B21" s="12"/>
      <c r="C21" s="12"/>
      <c r="D21" s="16"/>
      <c r="E21" s="16"/>
      <c r="F21" s="16"/>
      <c r="G21" s="16"/>
      <c r="H21" s="16"/>
      <c r="I21" s="16"/>
      <c r="J21" s="16"/>
      <c r="K21" s="12"/>
      <c r="L21" s="12"/>
      <c r="M21" s="12"/>
      <c r="N21" s="12"/>
      <c r="O21" s="42"/>
    </row>
    <row r="22" spans="1:29" x14ac:dyDescent="0.25">
      <c r="P22" s="5"/>
      <c r="Q22" s="5"/>
      <c r="R22" s="5"/>
      <c r="S22" s="5"/>
    </row>
    <row r="23" spans="1:29" x14ac:dyDescent="0.25">
      <c r="P23" s="5"/>
      <c r="Q23" s="5"/>
      <c r="R23" s="5"/>
      <c r="S23" s="5"/>
    </row>
    <row r="24" spans="1:29" s="716" customFormat="1" ht="24" customHeight="1" x14ac:dyDescent="0.25">
      <c r="D24" s="717"/>
      <c r="E24" s="718"/>
      <c r="F24" s="717"/>
      <c r="G24" s="717"/>
      <c r="H24" s="717"/>
      <c r="I24" s="717"/>
      <c r="J24" s="717"/>
      <c r="N24" s="717"/>
      <c r="O24" s="719"/>
      <c r="R24" s="714"/>
      <c r="S24" s="714"/>
      <c r="T24" s="714"/>
      <c r="U24" s="714"/>
      <c r="V24" s="714"/>
      <c r="W24" s="714"/>
      <c r="X24" s="714"/>
      <c r="Y24" s="714"/>
      <c r="Z24" s="714"/>
      <c r="AA24" s="714"/>
      <c r="AB24" s="714"/>
    </row>
    <row r="25" spans="1:29" s="716" customFormat="1" ht="24" customHeight="1" x14ac:dyDescent="0.25">
      <c r="D25" s="717"/>
      <c r="E25" s="718"/>
      <c r="F25" s="717"/>
      <c r="G25" s="717"/>
      <c r="H25" s="717"/>
      <c r="I25" s="717"/>
      <c r="J25" s="717"/>
      <c r="N25" s="717"/>
      <c r="O25" s="719"/>
      <c r="R25" s="715" t="s">
        <v>56</v>
      </c>
      <c r="S25" s="715" t="s">
        <v>48</v>
      </c>
      <c r="T25" s="715" t="s">
        <v>64</v>
      </c>
      <c r="U25" s="715" t="s">
        <v>0</v>
      </c>
      <c r="V25" s="715" t="s">
        <v>59</v>
      </c>
      <c r="W25" s="715" t="s">
        <v>67</v>
      </c>
      <c r="X25" s="715" t="s">
        <v>69</v>
      </c>
      <c r="Y25" s="715" t="s">
        <v>2619</v>
      </c>
      <c r="Z25" s="715" t="s">
        <v>74</v>
      </c>
      <c r="AA25" s="715" t="s">
        <v>77</v>
      </c>
      <c r="AB25" s="715" t="s">
        <v>79</v>
      </c>
      <c r="AC25" s="718" t="s">
        <v>3296</v>
      </c>
    </row>
    <row r="26" spans="1:29" s="716" customFormat="1" ht="24" customHeight="1" x14ac:dyDescent="0.25">
      <c r="D26" s="717"/>
      <c r="E26" s="718"/>
      <c r="F26" s="717"/>
      <c r="G26" s="717"/>
      <c r="H26" s="717"/>
      <c r="I26" s="717"/>
      <c r="J26" s="717"/>
      <c r="N26" s="717"/>
      <c r="O26" s="719"/>
      <c r="P26" s="720" t="s">
        <v>800</v>
      </c>
      <c r="Q26" s="720" t="s">
        <v>589</v>
      </c>
      <c r="R26" s="720">
        <v>5</v>
      </c>
      <c r="S26" s="720">
        <v>13</v>
      </c>
      <c r="T26" s="720">
        <v>11</v>
      </c>
      <c r="U26" s="720">
        <v>16</v>
      </c>
      <c r="V26" s="720">
        <v>10</v>
      </c>
      <c r="W26" s="720">
        <v>12</v>
      </c>
      <c r="X26" s="720">
        <v>17</v>
      </c>
      <c r="Y26" s="720">
        <v>11</v>
      </c>
      <c r="Z26" s="720">
        <v>13</v>
      </c>
      <c r="AA26" s="720">
        <v>22</v>
      </c>
      <c r="AB26" s="720">
        <v>9</v>
      </c>
      <c r="AC26" s="722">
        <f>SUM(R26:AB26)</f>
        <v>139</v>
      </c>
    </row>
    <row r="27" spans="1:29" s="716" customFormat="1" ht="23.4" customHeight="1" x14ac:dyDescent="0.25">
      <c r="D27" s="717"/>
      <c r="E27" s="718"/>
      <c r="F27" s="717"/>
      <c r="G27" s="717"/>
      <c r="H27" s="717"/>
      <c r="I27" s="717"/>
      <c r="J27" s="717"/>
      <c r="N27" s="717"/>
      <c r="O27" s="719"/>
      <c r="P27" s="721">
        <v>3</v>
      </c>
      <c r="Q27" s="721">
        <v>4</v>
      </c>
      <c r="R27" s="721">
        <f ca="1">COUNTIFS(Data!$F:$F,CONCATENATE(R$25,"-","?",$P27),Data!$H:$H,$Q27)</f>
        <v>0</v>
      </c>
      <c r="S27" s="721">
        <f ca="1">COUNTIFS(Data!$F:$F,CONCATENATE(S$25,"-","?",$P27),Data!$H:$H,$Q27)</f>
        <v>0</v>
      </c>
      <c r="T27" s="721">
        <f ca="1">COUNTIFS(Data!$F:$F,CONCATENATE(T$25,"-","?",$P27),Data!$H:$H,$Q27)</f>
        <v>0</v>
      </c>
      <c r="U27" s="721">
        <f ca="1">COUNTIFS(Data!$F:$F,CONCATENATE(U$25,"-","?",$P27),Data!$H:$H,$Q27)</f>
        <v>0</v>
      </c>
      <c r="V27" s="721">
        <f ca="1">COUNTIFS(Data!$F:$F,CONCATENATE(V$25,"-","?",$P27),Data!$H:$H,$Q27)</f>
        <v>0</v>
      </c>
      <c r="W27" s="721">
        <f ca="1">COUNTIFS(Data!$F:$F,CONCATENATE(W$25,"-","?",$P27),Data!$H:$H,$Q27)</f>
        <v>0</v>
      </c>
      <c r="X27" s="721">
        <f ca="1">COUNTIFS(Data!$F:$F,CONCATENATE(X$25,"-","?",$P27),Data!$H:$H,$Q27)</f>
        <v>0</v>
      </c>
      <c r="Y27" s="721">
        <f ca="1">COUNTIFS(Data!$F:$F,CONCATENATE(Y$25,"-","?",$P27),Data!$H:$H,$Q27)</f>
        <v>0</v>
      </c>
      <c r="Z27" s="721">
        <f ca="1">COUNTIFS(Data!$F:$F,CONCATENATE(Z$25,"-","?",$P27),Data!$H:$H,$Q27)</f>
        <v>0</v>
      </c>
      <c r="AA27" s="721">
        <f ca="1">COUNTIFS(Data!$F:$F,CONCATENATE(AA$25,"-","?",$P27),Data!$H:$H,$Q27)</f>
        <v>0</v>
      </c>
      <c r="AB27" s="721">
        <f ca="1">COUNTIFS(Data!$F:$F,CONCATENATE(AB$25,"-","?",$P27),Data!$H:$H,$Q27)</f>
        <v>0</v>
      </c>
      <c r="AC27" s="722"/>
    </row>
    <row r="28" spans="1:29" s="716" customFormat="1" ht="24" customHeight="1" x14ac:dyDescent="0.25">
      <c r="D28" s="717"/>
      <c r="E28" s="718"/>
      <c r="F28" s="717"/>
      <c r="G28" s="717"/>
      <c r="H28" s="717"/>
      <c r="I28" s="717"/>
      <c r="J28" s="717"/>
      <c r="N28" s="717"/>
      <c r="O28" s="719"/>
      <c r="P28" s="721">
        <v>3</v>
      </c>
      <c r="Q28" s="721">
        <v>3</v>
      </c>
      <c r="R28" s="721">
        <f ca="1">COUNTIFS(Data!$F:$F,CONCATENATE(R$25,"-","?",$P28),Data!$H:$H,$Q28)</f>
        <v>0</v>
      </c>
      <c r="S28" s="721">
        <f ca="1">COUNTIFS(Data!$F:$F,CONCATENATE(S$25,"-","?",$P28),Data!$H:$H,$Q28)</f>
        <v>0</v>
      </c>
      <c r="T28" s="721">
        <f ca="1">COUNTIFS(Data!$F:$F,CONCATENATE(T$25,"-","?",$P28),Data!$H:$H,$Q28)</f>
        <v>0</v>
      </c>
      <c r="U28" s="721">
        <f ca="1">COUNTIFS(Data!$F:$F,CONCATENATE(U$25,"-","?",$P28),Data!$H:$H,$Q28)</f>
        <v>0</v>
      </c>
      <c r="V28" s="721">
        <f ca="1">COUNTIFS(Data!$F:$F,CONCATENATE(V$25,"-","?",$P28),Data!$H:$H,$Q28)</f>
        <v>0</v>
      </c>
      <c r="W28" s="721">
        <f ca="1">COUNTIFS(Data!$F:$F,CONCATENATE(W$25,"-","?",$P28),Data!$H:$H,$Q28)</f>
        <v>0</v>
      </c>
      <c r="X28" s="721">
        <f ca="1">COUNTIFS(Data!$F:$F,CONCATENATE(X$25,"-","?",$P28),Data!$H:$H,$Q28)</f>
        <v>0</v>
      </c>
      <c r="Y28" s="721">
        <f ca="1">COUNTIFS(Data!$F:$F,CONCATENATE(Y$25,"-","?",$P28),Data!$H:$H,$Q28)</f>
        <v>0</v>
      </c>
      <c r="Z28" s="721">
        <f ca="1">COUNTIFS(Data!$F:$F,CONCATENATE(Z$25,"-","?",$P28),Data!$H:$H,$Q28)</f>
        <v>0</v>
      </c>
      <c r="AA28" s="721">
        <f ca="1">COUNTIFS(Data!$F:$F,CONCATENATE(AA$25,"-","?",$P28),Data!$H:$H,$Q28)</f>
        <v>0</v>
      </c>
      <c r="AB28" s="721">
        <f ca="1">COUNTIFS(Data!$F:$F,CONCATENATE(AB$25,"-","?",$P28),Data!$H:$H,$Q28)</f>
        <v>0</v>
      </c>
      <c r="AC28" s="722"/>
    </row>
    <row r="29" spans="1:29" s="716" customFormat="1" ht="24" customHeight="1" x14ac:dyDescent="0.25">
      <c r="D29" s="717"/>
      <c r="E29" s="718"/>
      <c r="F29" s="717"/>
      <c r="G29" s="717"/>
      <c r="H29" s="717"/>
      <c r="I29" s="717"/>
      <c r="J29" s="717"/>
      <c r="N29" s="717"/>
      <c r="O29" s="719"/>
      <c r="P29" s="721">
        <v>3</v>
      </c>
      <c r="Q29" s="721">
        <v>2</v>
      </c>
      <c r="R29" s="721">
        <f ca="1">COUNTIFS(Data!$F:$F,CONCATENATE(R$25,"-","?",$P29),Data!$H:$H,$Q29)</f>
        <v>0</v>
      </c>
      <c r="S29" s="721">
        <f ca="1">COUNTIFS(Data!$F:$F,CONCATENATE(S$25,"-","?",$P29),Data!$H:$H,$Q29)</f>
        <v>0</v>
      </c>
      <c r="T29" s="721">
        <f ca="1">COUNTIFS(Data!$F:$F,CONCATENATE(T$25,"-","?",$P29),Data!$H:$H,$Q29)</f>
        <v>0</v>
      </c>
      <c r="U29" s="721">
        <f ca="1">COUNTIFS(Data!$F:$F,CONCATENATE(U$25,"-","?",$P29),Data!$H:$H,$Q29)</f>
        <v>0</v>
      </c>
      <c r="V29" s="721">
        <f ca="1">COUNTIFS(Data!$F:$F,CONCATENATE(V$25,"-","?",$P29),Data!$H:$H,$Q29)</f>
        <v>0</v>
      </c>
      <c r="W29" s="721">
        <f ca="1">COUNTIFS(Data!$F:$F,CONCATENATE(W$25,"-","?",$P29),Data!$H:$H,$Q29)</f>
        <v>0</v>
      </c>
      <c r="X29" s="721">
        <f ca="1">COUNTIFS(Data!$F:$F,CONCATENATE(X$25,"-","?",$P29),Data!$H:$H,$Q29)</f>
        <v>0</v>
      </c>
      <c r="Y29" s="721">
        <f ca="1">COUNTIFS(Data!$F:$F,CONCATENATE(Y$25,"-","?",$P29),Data!$H:$H,$Q29)</f>
        <v>0</v>
      </c>
      <c r="Z29" s="721">
        <f ca="1">COUNTIFS(Data!$F:$F,CONCATENATE(Z$25,"-","?",$P29),Data!$H:$H,$Q29)</f>
        <v>0</v>
      </c>
      <c r="AA29" s="721">
        <f ca="1">COUNTIFS(Data!$F:$F,CONCATENATE(AA$25,"-","?",$P29),Data!$H:$H,$Q29)</f>
        <v>0</v>
      </c>
      <c r="AB29" s="721">
        <f ca="1">COUNTIFS(Data!$F:$F,CONCATENATE(AB$25,"-","?",$P29),Data!$H:$H,$Q29)</f>
        <v>0</v>
      </c>
      <c r="AC29" s="722"/>
    </row>
    <row r="30" spans="1:29" s="716" customFormat="1" ht="24" customHeight="1" x14ac:dyDescent="0.25">
      <c r="D30" s="717"/>
      <c r="E30" s="718"/>
      <c r="F30" s="717"/>
      <c r="G30" s="717"/>
      <c r="H30" s="717"/>
      <c r="I30" s="717"/>
      <c r="J30" s="717"/>
      <c r="N30" s="717"/>
      <c r="O30" s="719"/>
      <c r="P30" s="721">
        <v>3</v>
      </c>
      <c r="Q30" s="721">
        <v>1</v>
      </c>
      <c r="R30" s="721">
        <f ca="1">COUNTIFS(Data!$F:$F,CONCATENATE(R$25,"-","?",$P30),Data!$H:$H,$Q30)</f>
        <v>0</v>
      </c>
      <c r="S30" s="721">
        <f ca="1">COUNTIFS(Data!$F:$F,CONCATENATE(S$25,"-","?",$P30),Data!$H:$H,$Q30)</f>
        <v>0</v>
      </c>
      <c r="T30" s="721">
        <f ca="1">COUNTIFS(Data!$F:$F,CONCATENATE(T$25,"-","?",$P30),Data!$H:$H,$Q30)</f>
        <v>0</v>
      </c>
      <c r="U30" s="721">
        <f ca="1">COUNTIFS(Data!$F:$F,CONCATENATE(U$25,"-","?",$P30),Data!$H:$H,$Q30)</f>
        <v>0</v>
      </c>
      <c r="V30" s="721">
        <f ca="1">COUNTIFS(Data!$F:$F,CONCATENATE(V$25,"-","?",$P30),Data!$H:$H,$Q30)</f>
        <v>0</v>
      </c>
      <c r="W30" s="721">
        <f ca="1">COUNTIFS(Data!$F:$F,CONCATENATE(W$25,"-","?",$P30),Data!$H:$H,$Q30)</f>
        <v>0</v>
      </c>
      <c r="X30" s="721">
        <f ca="1">COUNTIFS(Data!$F:$F,CONCATENATE(X$25,"-","?",$P30),Data!$H:$H,$Q30)</f>
        <v>0</v>
      </c>
      <c r="Y30" s="721">
        <f ca="1">COUNTIFS(Data!$F:$F,CONCATENATE(Y$25,"-","?",$P30),Data!$H:$H,$Q30)</f>
        <v>0</v>
      </c>
      <c r="Z30" s="721">
        <f ca="1">COUNTIFS(Data!$F:$F,CONCATENATE(Z$25,"-","?",$P30),Data!$H:$H,$Q30)</f>
        <v>0</v>
      </c>
      <c r="AA30" s="721">
        <f ca="1">COUNTIFS(Data!$F:$F,CONCATENATE(AA$25,"-","?",$P30),Data!$H:$H,$Q30)</f>
        <v>0</v>
      </c>
      <c r="AB30" s="721">
        <f ca="1">COUNTIFS(Data!$F:$F,CONCATENATE(AB$25,"-","?",$P30),Data!$H:$H,$Q30)</f>
        <v>0</v>
      </c>
      <c r="AC30" s="722"/>
    </row>
    <row r="31" spans="1:29" s="716" customFormat="1" ht="27.6" customHeight="1" x14ac:dyDescent="0.25">
      <c r="D31" s="717"/>
      <c r="E31" s="718"/>
      <c r="F31" s="717"/>
      <c r="G31" s="717"/>
      <c r="H31" s="717"/>
      <c r="I31" s="717"/>
      <c r="J31" s="717"/>
      <c r="N31" s="717"/>
      <c r="O31" s="719"/>
      <c r="P31" s="721">
        <v>3</v>
      </c>
      <c r="Q31" s="999" t="s">
        <v>2552</v>
      </c>
      <c r="R31" s="721">
        <f ca="1">COUNTIFS(Data!$F:$F,CONCATENATE(R$25,"-","?",$P31),Data!$H:$H,$Q31)</f>
        <v>5</v>
      </c>
      <c r="S31" s="721">
        <f ca="1">COUNTIFS(Data!$F:$F,CONCATENATE(S$25,"-","?",$P31),Data!$H:$H,$Q31)</f>
        <v>13</v>
      </c>
      <c r="T31" s="721">
        <f ca="1">COUNTIFS(Data!$F:$F,CONCATENATE(T$25,"-","?",$P31),Data!$H:$H,$Q31)</f>
        <v>11</v>
      </c>
      <c r="U31" s="721">
        <f ca="1">COUNTIFS(Data!$F:$F,CONCATENATE(U$25,"-","?",$P31),Data!$H:$H,$Q31)</f>
        <v>16</v>
      </c>
      <c r="V31" s="721">
        <f ca="1">COUNTIFS(Data!$F:$F,CONCATENATE(V$25,"-","?",$P31),Data!$H:$H,$Q31)</f>
        <v>10</v>
      </c>
      <c r="W31" s="721">
        <f ca="1">COUNTIFS(Data!$F:$F,CONCATENATE(W$25,"-","?",$P31),Data!$H:$H,$Q31)</f>
        <v>12</v>
      </c>
      <c r="X31" s="721">
        <f ca="1">COUNTIFS(Data!$F:$F,CONCATENATE(X$25,"-","?",$P31),Data!$H:$H,$Q31)</f>
        <v>17</v>
      </c>
      <c r="Y31" s="721">
        <f ca="1">COUNTIFS(Data!$F:$F,CONCATENATE(Y$25,"-","?",$P31),Data!$H:$H,$Q31)</f>
        <v>11</v>
      </c>
      <c r="Z31" s="721">
        <f ca="1">COUNTIFS(Data!$F:$F,CONCATENATE(Z$25,"-","?",$P31),Data!$H:$H,$Q31)</f>
        <v>13</v>
      </c>
      <c r="AA31" s="721">
        <f ca="1">COUNTIFS(Data!$F:$F,CONCATENATE(AA$25,"-","?",$P31),Data!$H:$H,$Q31)</f>
        <v>22</v>
      </c>
      <c r="AB31" s="721">
        <f ca="1">COUNTIFS(Data!$F:$F,CONCATENATE(AB$25,"-","?",$P31),Data!$H:$H,$Q31)</f>
        <v>9</v>
      </c>
      <c r="AC31" s="722"/>
    </row>
    <row r="32" spans="1:29" s="716" customFormat="1" ht="24" customHeight="1" x14ac:dyDescent="0.25">
      <c r="D32" s="717"/>
      <c r="E32" s="718"/>
      <c r="F32" s="717"/>
      <c r="G32" s="717"/>
      <c r="H32" s="717"/>
      <c r="I32" s="717"/>
      <c r="J32" s="717"/>
      <c r="N32" s="717"/>
      <c r="O32" s="719"/>
      <c r="P32" s="720" t="s">
        <v>1952</v>
      </c>
      <c r="Q32" s="720" t="s">
        <v>589</v>
      </c>
      <c r="R32" s="720">
        <v>12</v>
      </c>
      <c r="S32" s="720">
        <v>18</v>
      </c>
      <c r="T32" s="720">
        <v>11</v>
      </c>
      <c r="U32" s="720">
        <v>19</v>
      </c>
      <c r="V32" s="720">
        <v>17</v>
      </c>
      <c r="W32" s="720">
        <v>13</v>
      </c>
      <c r="X32" s="720">
        <v>23</v>
      </c>
      <c r="Y32" s="720">
        <v>10</v>
      </c>
      <c r="Z32" s="720">
        <v>12</v>
      </c>
      <c r="AA32" s="720">
        <v>30</v>
      </c>
      <c r="AB32" s="720">
        <v>13</v>
      </c>
      <c r="AC32" s="722">
        <f>SUM(R32:AB32)</f>
        <v>178</v>
      </c>
    </row>
    <row r="33" spans="4:29" s="716" customFormat="1" ht="24" customHeight="1" x14ac:dyDescent="0.25">
      <c r="D33" s="717"/>
      <c r="E33" s="718"/>
      <c r="F33" s="717"/>
      <c r="G33" s="717"/>
      <c r="H33" s="717"/>
      <c r="I33" s="717"/>
      <c r="J33" s="717"/>
      <c r="N33" s="717"/>
      <c r="O33" s="719"/>
      <c r="P33" s="721">
        <v>2</v>
      </c>
      <c r="Q33" s="721">
        <v>4</v>
      </c>
      <c r="R33" s="721">
        <f ca="1">COUNTIFS(Data!$F:$F,CONCATENATE(R$25,"-","?",$P33),Data!$H:$H,$Q33)</f>
        <v>0</v>
      </c>
      <c r="S33" s="721">
        <f ca="1">COUNTIFS(Data!$F:$F,CONCATENATE(S$25,"-","?",$P33),Data!$H:$H,$Q33)</f>
        <v>0</v>
      </c>
      <c r="T33" s="721">
        <f ca="1">COUNTIFS(Data!$F:$F,CONCATENATE(T$25,"-","?",$P33),Data!$H:$H,$Q33)</f>
        <v>0</v>
      </c>
      <c r="U33" s="721">
        <f ca="1">COUNTIFS(Data!$F:$F,CONCATENATE(U$25,"-","?",$P33),Data!$H:$H,$Q33)</f>
        <v>0</v>
      </c>
      <c r="V33" s="721">
        <f ca="1">COUNTIFS(Data!$F:$F,CONCATENATE(V$25,"-","?",$P33),Data!$H:$H,$Q33)</f>
        <v>0</v>
      </c>
      <c r="W33" s="721">
        <f ca="1">COUNTIFS(Data!$F:$F,CONCATENATE(W$25,"-","?",$P33),Data!$H:$H,$Q33)</f>
        <v>0</v>
      </c>
      <c r="X33" s="721">
        <f ca="1">COUNTIFS(Data!$F:$F,CONCATENATE(X$25,"-","?",$P33),Data!$H:$H,$Q33)</f>
        <v>0</v>
      </c>
      <c r="Y33" s="721">
        <f ca="1">COUNTIFS(Data!$F:$F,CONCATENATE(Y$25,"-","?",$P33),Data!$H:$H,$Q33)</f>
        <v>0</v>
      </c>
      <c r="Z33" s="721">
        <f ca="1">COUNTIFS(Data!$F:$F,CONCATENATE(Z$25,"-","?",$P33),Data!$H:$H,$Q33)</f>
        <v>0</v>
      </c>
      <c r="AA33" s="721">
        <f ca="1">COUNTIFS(Data!$F:$F,CONCATENATE(AA$25,"-","?",$P33),Data!$H:$H,$Q33)</f>
        <v>0</v>
      </c>
      <c r="AB33" s="721">
        <f ca="1">COUNTIFS(Data!$F:$F,CONCATENATE(AB$25,"-","?",$P33),Data!$H:$H,$Q33)</f>
        <v>0</v>
      </c>
      <c r="AC33" s="722"/>
    </row>
    <row r="34" spans="4:29" s="716" customFormat="1" ht="24" customHeight="1" x14ac:dyDescent="0.25">
      <c r="D34" s="717"/>
      <c r="E34" s="718"/>
      <c r="F34" s="717"/>
      <c r="G34" s="717"/>
      <c r="H34" s="717"/>
      <c r="I34" s="717"/>
      <c r="J34" s="717"/>
      <c r="N34" s="717"/>
      <c r="O34" s="719"/>
      <c r="P34" s="721">
        <v>2</v>
      </c>
      <c r="Q34" s="721">
        <v>3</v>
      </c>
      <c r="R34" s="721">
        <f ca="1">COUNTIFS(Data!$F:$F,CONCATENATE(R$25,"-","?",$P34),Data!$H:$H,$Q34)</f>
        <v>0</v>
      </c>
      <c r="S34" s="721">
        <f ca="1">COUNTIFS(Data!$F:$F,CONCATENATE(S$25,"-","?",$P34),Data!$H:$H,$Q34)</f>
        <v>0</v>
      </c>
      <c r="T34" s="721">
        <f ca="1">COUNTIFS(Data!$F:$F,CONCATENATE(T$25,"-","?",$P34),Data!$H:$H,$Q34)</f>
        <v>0</v>
      </c>
      <c r="U34" s="721">
        <f ca="1">COUNTIFS(Data!$F:$F,CONCATENATE(U$25,"-","?",$P34),Data!$H:$H,$Q34)</f>
        <v>0</v>
      </c>
      <c r="V34" s="721">
        <f ca="1">COUNTIFS(Data!$F:$F,CONCATENATE(V$25,"-","?",$P34),Data!$H:$H,$Q34)</f>
        <v>0</v>
      </c>
      <c r="W34" s="721">
        <f ca="1">COUNTIFS(Data!$F:$F,CONCATENATE(W$25,"-","?",$P34),Data!$H:$H,$Q34)</f>
        <v>0</v>
      </c>
      <c r="X34" s="721">
        <f ca="1">COUNTIFS(Data!$F:$F,CONCATENATE(X$25,"-","?",$P34),Data!$H:$H,$Q34)</f>
        <v>0</v>
      </c>
      <c r="Y34" s="721">
        <f ca="1">COUNTIFS(Data!$F:$F,CONCATENATE(Y$25,"-","?",$P34),Data!$H:$H,$Q34)</f>
        <v>0</v>
      </c>
      <c r="Z34" s="721">
        <f ca="1">COUNTIFS(Data!$F:$F,CONCATENATE(Z$25,"-","?",$P34),Data!$H:$H,$Q34)</f>
        <v>0</v>
      </c>
      <c r="AA34" s="721">
        <f ca="1">COUNTIFS(Data!$F:$F,CONCATENATE(AA$25,"-","?",$P34),Data!$H:$H,$Q34)</f>
        <v>0</v>
      </c>
      <c r="AB34" s="721">
        <f ca="1">COUNTIFS(Data!$F:$F,CONCATENATE(AB$25,"-","?",$P34),Data!$H:$H,$Q34)</f>
        <v>0</v>
      </c>
      <c r="AC34" s="722"/>
    </row>
    <row r="35" spans="4:29" s="716" customFormat="1" ht="24" customHeight="1" x14ac:dyDescent="0.25">
      <c r="D35" s="717"/>
      <c r="E35" s="718"/>
      <c r="F35" s="717"/>
      <c r="G35" s="717"/>
      <c r="H35" s="717"/>
      <c r="I35" s="717"/>
      <c r="J35" s="717"/>
      <c r="N35" s="717"/>
      <c r="O35" s="719"/>
      <c r="P35" s="721">
        <v>2</v>
      </c>
      <c r="Q35" s="721">
        <v>2</v>
      </c>
      <c r="R35" s="721">
        <f ca="1">COUNTIFS(Data!$F:$F,CONCATENATE(R$25,"-","?",$P35),Data!$H:$H,$Q35)</f>
        <v>0</v>
      </c>
      <c r="S35" s="721">
        <f ca="1">COUNTIFS(Data!$F:$F,CONCATENATE(S$25,"-","?",$P35),Data!$H:$H,$Q35)</f>
        <v>0</v>
      </c>
      <c r="T35" s="721">
        <f ca="1">COUNTIFS(Data!$F:$F,CONCATENATE(T$25,"-","?",$P35),Data!$H:$H,$Q35)</f>
        <v>0</v>
      </c>
      <c r="U35" s="721">
        <f ca="1">COUNTIFS(Data!$F:$F,CONCATENATE(U$25,"-","?",$P35),Data!$H:$H,$Q35)</f>
        <v>0</v>
      </c>
      <c r="V35" s="721">
        <f ca="1">COUNTIFS(Data!$F:$F,CONCATENATE(V$25,"-","?",$P35),Data!$H:$H,$Q35)</f>
        <v>0</v>
      </c>
      <c r="W35" s="721">
        <f ca="1">COUNTIFS(Data!$F:$F,CONCATENATE(W$25,"-","?",$P35),Data!$H:$H,$Q35)</f>
        <v>0</v>
      </c>
      <c r="X35" s="721">
        <f ca="1">COUNTIFS(Data!$F:$F,CONCATENATE(X$25,"-","?",$P35),Data!$H:$H,$Q35)</f>
        <v>0</v>
      </c>
      <c r="Y35" s="721">
        <f ca="1">COUNTIFS(Data!$F:$F,CONCATENATE(Y$25,"-","?",$P35),Data!$H:$H,$Q35)</f>
        <v>0</v>
      </c>
      <c r="Z35" s="721">
        <f ca="1">COUNTIFS(Data!$F:$F,CONCATENATE(Z$25,"-","?",$P35),Data!$H:$H,$Q35)</f>
        <v>0</v>
      </c>
      <c r="AA35" s="721">
        <f ca="1">COUNTIFS(Data!$F:$F,CONCATENATE(AA$25,"-","?",$P35),Data!$H:$H,$Q35)</f>
        <v>0</v>
      </c>
      <c r="AB35" s="721">
        <f ca="1">COUNTIFS(Data!$F:$F,CONCATENATE(AB$25,"-","?",$P35),Data!$H:$H,$Q35)</f>
        <v>0</v>
      </c>
      <c r="AC35" s="722"/>
    </row>
    <row r="36" spans="4:29" s="716" customFormat="1" ht="24" customHeight="1" x14ac:dyDescent="0.25">
      <c r="D36" s="717"/>
      <c r="E36" s="718"/>
      <c r="F36" s="717"/>
      <c r="G36" s="717"/>
      <c r="H36" s="717"/>
      <c r="I36" s="717"/>
      <c r="J36" s="717"/>
      <c r="N36" s="717"/>
      <c r="O36" s="719"/>
      <c r="P36" s="721">
        <v>2</v>
      </c>
      <c r="Q36" s="721">
        <v>1</v>
      </c>
      <c r="R36" s="721">
        <f ca="1">COUNTIFS(Data!$F:$F,CONCATENATE(R$25,"-","?",$P36),Data!$H:$H,$Q36)</f>
        <v>0</v>
      </c>
      <c r="S36" s="721">
        <f ca="1">COUNTIFS(Data!$F:$F,CONCATENATE(S$25,"-","?",$P36),Data!$H:$H,$Q36)</f>
        <v>0</v>
      </c>
      <c r="T36" s="721">
        <f ca="1">COUNTIFS(Data!$F:$F,CONCATENATE(T$25,"-","?",$P36),Data!$H:$H,$Q36)</f>
        <v>0</v>
      </c>
      <c r="U36" s="721">
        <f ca="1">COUNTIFS(Data!$F:$F,CONCATENATE(U$25,"-","?",$P36),Data!$H:$H,$Q36)</f>
        <v>0</v>
      </c>
      <c r="V36" s="721">
        <f ca="1">COUNTIFS(Data!$F:$F,CONCATENATE(V$25,"-","?",$P36),Data!$H:$H,$Q36)</f>
        <v>0</v>
      </c>
      <c r="W36" s="721">
        <f ca="1">COUNTIFS(Data!$F:$F,CONCATENATE(W$25,"-","?",$P36),Data!$H:$H,$Q36)</f>
        <v>0</v>
      </c>
      <c r="X36" s="721">
        <f ca="1">COUNTIFS(Data!$F:$F,CONCATENATE(X$25,"-","?",$P36),Data!$H:$H,$Q36)</f>
        <v>0</v>
      </c>
      <c r="Y36" s="721">
        <f ca="1">COUNTIFS(Data!$F:$F,CONCATENATE(Y$25,"-","?",$P36),Data!$H:$H,$Q36)</f>
        <v>0</v>
      </c>
      <c r="Z36" s="721">
        <f ca="1">COUNTIFS(Data!$F:$F,CONCATENATE(Z$25,"-","?",$P36),Data!$H:$H,$Q36)</f>
        <v>0</v>
      </c>
      <c r="AA36" s="721">
        <f ca="1">COUNTIFS(Data!$F:$F,CONCATENATE(AA$25,"-","?",$P36),Data!$H:$H,$Q36)</f>
        <v>0</v>
      </c>
      <c r="AB36" s="721">
        <f ca="1">COUNTIFS(Data!$F:$F,CONCATENATE(AB$25,"-","?",$P36),Data!$H:$H,$Q36)</f>
        <v>0</v>
      </c>
      <c r="AC36" s="722"/>
    </row>
    <row r="37" spans="4:29" s="716" customFormat="1" ht="24" customHeight="1" x14ac:dyDescent="0.25">
      <c r="D37" s="717"/>
      <c r="E37" s="718"/>
      <c r="F37" s="717"/>
      <c r="G37" s="717"/>
      <c r="H37" s="717"/>
      <c r="I37" s="717"/>
      <c r="J37" s="717"/>
      <c r="N37" s="717"/>
      <c r="O37" s="719"/>
      <c r="P37" s="721">
        <v>2</v>
      </c>
      <c r="Q37" s="999" t="s">
        <v>2552</v>
      </c>
      <c r="R37" s="721">
        <f ca="1">COUNTIFS(Data!$F:$F,CONCATENATE(R$25,"-","?",$P37),Data!$H:$H,$Q37)</f>
        <v>12</v>
      </c>
      <c r="S37" s="721">
        <f ca="1">COUNTIFS(Data!$F:$F,CONCATENATE(S$25,"-","?",$P37),Data!$H:$H,$Q37)</f>
        <v>18</v>
      </c>
      <c r="T37" s="721">
        <f ca="1">COUNTIFS(Data!$F:$F,CONCATENATE(T$25,"-","?",$P37),Data!$H:$H,$Q37)</f>
        <v>11</v>
      </c>
      <c r="U37" s="721">
        <f ca="1">COUNTIFS(Data!$F:$F,CONCATENATE(U$25,"-","?",$P37),Data!$H:$H,$Q37)</f>
        <v>19</v>
      </c>
      <c r="V37" s="721">
        <f ca="1">COUNTIFS(Data!$F:$F,CONCATENATE(V$25,"-","?",$P37),Data!$H:$H,$Q37)</f>
        <v>17</v>
      </c>
      <c r="W37" s="721">
        <f ca="1">COUNTIFS(Data!$F:$F,CONCATENATE(W$25,"-","?",$P37),Data!$H:$H,$Q37)</f>
        <v>13</v>
      </c>
      <c r="X37" s="721">
        <f ca="1">COUNTIFS(Data!$F:$F,CONCATENATE(X$25,"-","?",$P37),Data!$H:$H,$Q37)</f>
        <v>23</v>
      </c>
      <c r="Y37" s="721">
        <f ca="1">COUNTIFS(Data!$F:$F,CONCATENATE(Y$25,"-","?",$P37),Data!$H:$H,$Q37)</f>
        <v>10</v>
      </c>
      <c r="Z37" s="721">
        <f ca="1">COUNTIFS(Data!$F:$F,CONCATENATE(Z$25,"-","?",$P37),Data!$H:$H,$Q37)</f>
        <v>12</v>
      </c>
      <c r="AA37" s="721">
        <f ca="1">COUNTIFS(Data!$F:$F,CONCATENATE(AA$25,"-","?",$P37),Data!$H:$H,$Q37)</f>
        <v>30</v>
      </c>
      <c r="AB37" s="721">
        <f ca="1">COUNTIFS(Data!$F:$F,CONCATENATE(AB$25,"-","?",$P37),Data!$H:$H,$Q37)</f>
        <v>13</v>
      </c>
      <c r="AC37" s="722"/>
    </row>
    <row r="38" spans="4:29" s="716" customFormat="1" ht="24" customHeight="1" x14ac:dyDescent="0.25">
      <c r="D38" s="717"/>
      <c r="E38" s="718"/>
      <c r="F38" s="717"/>
      <c r="G38" s="717"/>
      <c r="H38" s="717"/>
      <c r="I38" s="717"/>
      <c r="J38" s="717"/>
      <c r="N38" s="717"/>
      <c r="O38" s="719"/>
      <c r="P38" s="720" t="s">
        <v>798</v>
      </c>
      <c r="Q38" s="720" t="s">
        <v>589</v>
      </c>
      <c r="R38" s="720">
        <v>10</v>
      </c>
      <c r="S38" s="720">
        <v>5</v>
      </c>
      <c r="T38" s="720">
        <v>8</v>
      </c>
      <c r="U38" s="720">
        <v>4</v>
      </c>
      <c r="V38" s="720">
        <v>8</v>
      </c>
      <c r="W38" s="720">
        <v>3</v>
      </c>
      <c r="X38" s="720">
        <v>9</v>
      </c>
      <c r="Y38" s="720">
        <v>4</v>
      </c>
      <c r="Z38" s="720">
        <v>7</v>
      </c>
      <c r="AA38" s="720">
        <v>6</v>
      </c>
      <c r="AB38" s="720">
        <v>2</v>
      </c>
      <c r="AC38" s="722">
        <f>SUM(R38:AB38)</f>
        <v>66</v>
      </c>
    </row>
    <row r="39" spans="4:29" s="716" customFormat="1" ht="24" customHeight="1" x14ac:dyDescent="0.25">
      <c r="D39" s="717"/>
      <c r="E39" s="718"/>
      <c r="F39" s="717"/>
      <c r="G39" s="717"/>
      <c r="H39" s="717"/>
      <c r="I39" s="717"/>
      <c r="J39" s="717"/>
      <c r="N39" s="717"/>
      <c r="O39" s="719"/>
      <c r="P39" s="721">
        <v>1</v>
      </c>
      <c r="Q39" s="721">
        <v>4</v>
      </c>
      <c r="R39" s="721">
        <f ca="1">COUNTIFS(Data!$F:$F,CONCATENATE(R$25,"-","?",$P39),Data!$H:$H,$Q39)</f>
        <v>0</v>
      </c>
      <c r="S39" s="721">
        <f ca="1">COUNTIFS(Data!$F:$F,CONCATENATE(S$25,"-","?",$P39),Data!$H:$H,$Q39)</f>
        <v>0</v>
      </c>
      <c r="T39" s="721">
        <f ca="1">COUNTIFS(Data!$F:$F,CONCATENATE(T$25,"-","?",$P39),Data!$H:$H,$Q39)</f>
        <v>0</v>
      </c>
      <c r="U39" s="721">
        <f ca="1">COUNTIFS(Data!$F:$F,CONCATENATE(U$25,"-","?",$P39),Data!$H:$H,$Q39)</f>
        <v>0</v>
      </c>
      <c r="V39" s="721">
        <f ca="1">COUNTIFS(Data!$F:$F,CONCATENATE(V$25,"-","?",$P39),Data!$H:$H,$Q39)</f>
        <v>0</v>
      </c>
      <c r="W39" s="721">
        <f ca="1">COUNTIFS(Data!$F:$F,CONCATENATE(W$25,"-","?",$P39),Data!$H:$H,$Q39)</f>
        <v>0</v>
      </c>
      <c r="X39" s="721">
        <f ca="1">COUNTIFS(Data!$F:$F,CONCATENATE(X$25,"-","?",$P39),Data!$H:$H,$Q39)</f>
        <v>0</v>
      </c>
      <c r="Y39" s="721">
        <f ca="1">COUNTIFS(Data!$F:$F,CONCATENATE(Y$25,"-","?",$P39),Data!$H:$H,$Q39)</f>
        <v>0</v>
      </c>
      <c r="Z39" s="721">
        <f ca="1">COUNTIFS(Data!$F:$F,CONCATENATE(Z$25,"-","?",$P39),Data!$H:$H,$Q39)</f>
        <v>0</v>
      </c>
      <c r="AA39" s="721">
        <f ca="1">COUNTIFS(Data!$F:$F,CONCATENATE(AA$25,"-","?",$P39),Data!$H:$H,$Q39)</f>
        <v>0</v>
      </c>
      <c r="AB39" s="721">
        <f ca="1">COUNTIFS(Data!$F:$F,CONCATENATE(AB$25,"-","?",$P39),Data!$H:$H,$Q39)</f>
        <v>0</v>
      </c>
      <c r="AC39" s="722"/>
    </row>
    <row r="40" spans="4:29" s="716" customFormat="1" ht="24" customHeight="1" x14ac:dyDescent="0.25">
      <c r="D40" s="717"/>
      <c r="E40" s="718"/>
      <c r="F40" s="717"/>
      <c r="G40" s="717"/>
      <c r="H40" s="717"/>
      <c r="I40" s="717"/>
      <c r="J40" s="717"/>
      <c r="N40" s="717"/>
      <c r="O40" s="719"/>
      <c r="P40" s="721">
        <v>1</v>
      </c>
      <c r="Q40" s="721">
        <v>3</v>
      </c>
      <c r="R40" s="721">
        <f ca="1">COUNTIFS(Data!$F:$F,CONCATENATE(R$25,"-","?",$P40),Data!$H:$H,$Q40)</f>
        <v>0</v>
      </c>
      <c r="S40" s="721">
        <f ca="1">COUNTIFS(Data!$F:$F,CONCATENATE(S$25,"-","?",$P40),Data!$H:$H,$Q40)</f>
        <v>0</v>
      </c>
      <c r="T40" s="721">
        <f ca="1">COUNTIFS(Data!$F:$F,CONCATENATE(T$25,"-","?",$P40),Data!$H:$H,$Q40)</f>
        <v>0</v>
      </c>
      <c r="U40" s="721">
        <f ca="1">COUNTIFS(Data!$F:$F,CONCATENATE(U$25,"-","?",$P40),Data!$H:$H,$Q40)</f>
        <v>0</v>
      </c>
      <c r="V40" s="721">
        <f ca="1">COUNTIFS(Data!$F:$F,CONCATENATE(V$25,"-","?",$P40),Data!$H:$H,$Q40)</f>
        <v>0</v>
      </c>
      <c r="W40" s="721">
        <f ca="1">COUNTIFS(Data!$F:$F,CONCATENATE(W$25,"-","?",$P40),Data!$H:$H,$Q40)</f>
        <v>0</v>
      </c>
      <c r="X40" s="721">
        <f ca="1">COUNTIFS(Data!$F:$F,CONCATENATE(X$25,"-","?",$P40),Data!$H:$H,$Q40)</f>
        <v>0</v>
      </c>
      <c r="Y40" s="721">
        <f ca="1">COUNTIFS(Data!$F:$F,CONCATENATE(Y$25,"-","?",$P40),Data!$H:$H,$Q40)</f>
        <v>0</v>
      </c>
      <c r="Z40" s="721">
        <f ca="1">COUNTIFS(Data!$F:$F,CONCATENATE(Z$25,"-","?",$P40),Data!$H:$H,$Q40)</f>
        <v>0</v>
      </c>
      <c r="AA40" s="721">
        <f ca="1">COUNTIFS(Data!$F:$F,CONCATENATE(AA$25,"-","?",$P40),Data!$H:$H,$Q40)</f>
        <v>0</v>
      </c>
      <c r="AB40" s="721">
        <f ca="1">COUNTIFS(Data!$F:$F,CONCATENATE(AB$25,"-","?",$P40),Data!$H:$H,$Q40)</f>
        <v>0</v>
      </c>
      <c r="AC40" s="722"/>
    </row>
    <row r="41" spans="4:29" s="716" customFormat="1" ht="24" customHeight="1" x14ac:dyDescent="0.25">
      <c r="D41" s="717"/>
      <c r="E41" s="718"/>
      <c r="F41" s="717"/>
      <c r="G41" s="717"/>
      <c r="H41" s="717"/>
      <c r="I41" s="717"/>
      <c r="J41" s="717"/>
      <c r="N41" s="717"/>
      <c r="O41" s="719"/>
      <c r="P41" s="721">
        <v>1</v>
      </c>
      <c r="Q41" s="721">
        <v>2</v>
      </c>
      <c r="R41" s="721">
        <f ca="1">COUNTIFS(Data!$F:$F,CONCATENATE(R$25,"-","?",$P41),Data!$H:$H,$Q41)</f>
        <v>0</v>
      </c>
      <c r="S41" s="721">
        <f ca="1">COUNTIFS(Data!$F:$F,CONCATENATE(S$25,"-","?",$P41),Data!$H:$H,$Q41)</f>
        <v>0</v>
      </c>
      <c r="T41" s="721">
        <f ca="1">COUNTIFS(Data!$F:$F,CONCATENATE(T$25,"-","?",$P41),Data!$H:$H,$Q41)</f>
        <v>0</v>
      </c>
      <c r="U41" s="721">
        <f ca="1">COUNTIFS(Data!$F:$F,CONCATENATE(U$25,"-","?",$P41),Data!$H:$H,$Q41)</f>
        <v>0</v>
      </c>
      <c r="V41" s="721">
        <f ca="1">COUNTIFS(Data!$F:$F,CONCATENATE(V$25,"-","?",$P41),Data!$H:$H,$Q41)</f>
        <v>0</v>
      </c>
      <c r="W41" s="721">
        <f ca="1">COUNTIFS(Data!$F:$F,CONCATENATE(W$25,"-","?",$P41),Data!$H:$H,$Q41)</f>
        <v>0</v>
      </c>
      <c r="X41" s="721">
        <f ca="1">COUNTIFS(Data!$F:$F,CONCATENATE(X$25,"-","?",$P41),Data!$H:$H,$Q41)</f>
        <v>0</v>
      </c>
      <c r="Y41" s="721">
        <f ca="1">COUNTIFS(Data!$F:$F,CONCATENATE(Y$25,"-","?",$P41),Data!$H:$H,$Q41)</f>
        <v>0</v>
      </c>
      <c r="Z41" s="721">
        <f ca="1">COUNTIFS(Data!$F:$F,CONCATENATE(Z$25,"-","?",$P41),Data!$H:$H,$Q41)</f>
        <v>0</v>
      </c>
      <c r="AA41" s="721">
        <f ca="1">COUNTIFS(Data!$F:$F,CONCATENATE(AA$25,"-","?",$P41),Data!$H:$H,$Q41)</f>
        <v>0</v>
      </c>
      <c r="AB41" s="721">
        <f ca="1">COUNTIFS(Data!$F:$F,CONCATENATE(AB$25,"-","?",$P41),Data!$H:$H,$Q41)</f>
        <v>0</v>
      </c>
      <c r="AC41" s="722"/>
    </row>
    <row r="42" spans="4:29" s="716" customFormat="1" ht="24" customHeight="1" x14ac:dyDescent="0.25">
      <c r="D42" s="717"/>
      <c r="E42" s="718"/>
      <c r="F42" s="717"/>
      <c r="G42" s="717"/>
      <c r="H42" s="717"/>
      <c r="I42" s="717"/>
      <c r="J42" s="717"/>
      <c r="N42" s="717"/>
      <c r="O42" s="719"/>
      <c r="P42" s="721">
        <v>1</v>
      </c>
      <c r="Q42" s="721">
        <v>1</v>
      </c>
      <c r="R42" s="721">
        <f ca="1">COUNTIFS(Data!$F:$F,CONCATENATE(R$25,"-","?",$P42),Data!$H:$H,$Q42)</f>
        <v>0</v>
      </c>
      <c r="S42" s="721">
        <f ca="1">COUNTIFS(Data!$F:$F,CONCATENATE(S$25,"-","?",$P42),Data!$H:$H,$Q42)</f>
        <v>0</v>
      </c>
      <c r="T42" s="721">
        <f ca="1">COUNTIFS(Data!$F:$F,CONCATENATE(T$25,"-","?",$P42),Data!$H:$H,$Q42)</f>
        <v>0</v>
      </c>
      <c r="U42" s="721">
        <f ca="1">COUNTIFS(Data!$F:$F,CONCATENATE(U$25,"-","?",$P42),Data!$H:$H,$Q42)</f>
        <v>0</v>
      </c>
      <c r="V42" s="721">
        <f ca="1">COUNTIFS(Data!$F:$F,CONCATENATE(V$25,"-","?",$P42),Data!$H:$H,$Q42)</f>
        <v>0</v>
      </c>
      <c r="W42" s="721">
        <f ca="1">COUNTIFS(Data!$F:$F,CONCATENATE(W$25,"-","?",$P42),Data!$H:$H,$Q42)</f>
        <v>0</v>
      </c>
      <c r="X42" s="721">
        <f ca="1">COUNTIFS(Data!$F:$F,CONCATENATE(X$25,"-","?",$P42),Data!$H:$H,$Q42)</f>
        <v>0</v>
      </c>
      <c r="Y42" s="721">
        <f ca="1">COUNTIFS(Data!$F:$F,CONCATENATE(Y$25,"-","?",$P42),Data!$H:$H,$Q42)</f>
        <v>0</v>
      </c>
      <c r="Z42" s="721">
        <f ca="1">COUNTIFS(Data!$F:$F,CONCATENATE(Z$25,"-","?",$P42),Data!$H:$H,$Q42)</f>
        <v>0</v>
      </c>
      <c r="AA42" s="721">
        <f ca="1">COUNTIFS(Data!$F:$F,CONCATENATE(AA$25,"-","?",$P42),Data!$H:$H,$Q42)</f>
        <v>0</v>
      </c>
      <c r="AB42" s="721">
        <f ca="1">COUNTIFS(Data!$F:$F,CONCATENATE(AB$25,"-","?",$P42),Data!$H:$H,$Q42)</f>
        <v>0</v>
      </c>
      <c r="AC42" s="722"/>
    </row>
    <row r="43" spans="4:29" s="716" customFormat="1" ht="24" customHeight="1" x14ac:dyDescent="0.25">
      <c r="D43" s="717"/>
      <c r="E43" s="718"/>
      <c r="F43" s="717"/>
      <c r="G43" s="717"/>
      <c r="H43" s="717"/>
      <c r="I43" s="717"/>
      <c r="J43" s="717"/>
      <c r="N43" s="717"/>
      <c r="O43" s="719"/>
      <c r="P43" s="721">
        <v>1</v>
      </c>
      <c r="Q43" s="999" t="s">
        <v>2552</v>
      </c>
      <c r="R43" s="721">
        <f ca="1">COUNTIFS(Data!$F:$F,CONCATENATE(R$25,"-","?",$P43),Data!$H:$H,$Q43)</f>
        <v>10</v>
      </c>
      <c r="S43" s="721">
        <f ca="1">COUNTIFS(Data!$F:$F,CONCATENATE(S$25,"-","?",$P43),Data!$H:$H,$Q43)</f>
        <v>5</v>
      </c>
      <c r="T43" s="721">
        <f ca="1">COUNTIFS(Data!$F:$F,CONCATENATE(T$25,"-","?",$P43),Data!$H:$H,$Q43)</f>
        <v>8</v>
      </c>
      <c r="U43" s="721">
        <f ca="1">COUNTIFS(Data!$F:$F,CONCATENATE(U$25,"-","?",$P43),Data!$H:$H,$Q43)</f>
        <v>4</v>
      </c>
      <c r="V43" s="721">
        <f ca="1">COUNTIFS(Data!$F:$F,CONCATENATE(V$25,"-","?",$P43),Data!$H:$H,$Q43)</f>
        <v>8</v>
      </c>
      <c r="W43" s="721">
        <f ca="1">COUNTIFS(Data!$F:$F,CONCATENATE(W$25,"-","?",$P43),Data!$H:$H,$Q43)</f>
        <v>3</v>
      </c>
      <c r="X43" s="721">
        <f ca="1">COUNTIFS(Data!$F:$F,CONCATENATE(X$25,"-","?",$P43),Data!$H:$H,$Q43)</f>
        <v>9</v>
      </c>
      <c r="Y43" s="721">
        <f ca="1">COUNTIFS(Data!$F:$F,CONCATENATE(Y$25,"-","?",$P43),Data!$H:$H,$Q43)</f>
        <v>4</v>
      </c>
      <c r="Z43" s="721">
        <f ca="1">COUNTIFS(Data!$F:$F,CONCATENATE(Z$25,"-","?",$P43),Data!$H:$H,$Q43)</f>
        <v>7</v>
      </c>
      <c r="AA43" s="721">
        <f ca="1">COUNTIFS(Data!$F:$F,CONCATENATE(AA$25,"-","?",$P43),Data!$H:$H,$Q43)</f>
        <v>6</v>
      </c>
      <c r="AB43" s="721">
        <f ca="1">COUNTIFS(Data!$F:$F,CONCATENATE(AB$25,"-","?",$P43),Data!$H:$H,$Q43)</f>
        <v>2</v>
      </c>
      <c r="AC43" s="722"/>
    </row>
    <row r="44" spans="4:29" x14ac:dyDescent="0.25">
      <c r="P44" s="5"/>
      <c r="Q44" s="702"/>
      <c r="R44" s="702"/>
      <c r="S44" s="702"/>
      <c r="T44" s="702"/>
      <c r="U44" s="702"/>
      <c r="V44" s="702"/>
      <c r="W44" s="702"/>
      <c r="X44" s="702"/>
      <c r="Y44" s="702"/>
      <c r="Z44" s="703"/>
      <c r="AA44" s="703"/>
      <c r="AB44" s="703"/>
      <c r="AC44" s="703"/>
    </row>
    <row r="45" spans="4:29" x14ac:dyDescent="0.2">
      <c r="P45" s="5"/>
      <c r="Q45" s="702"/>
      <c r="R45" s="702"/>
      <c r="S45" s="704"/>
      <c r="T45" s="704"/>
      <c r="U45" s="704"/>
      <c r="V45" s="704"/>
      <c r="W45" s="704"/>
      <c r="X45" s="702"/>
      <c r="Y45" s="702"/>
      <c r="Z45" s="703"/>
      <c r="AA45" s="703"/>
      <c r="AB45" s="703"/>
      <c r="AC45" s="703"/>
    </row>
    <row r="46" spans="4:29" x14ac:dyDescent="0.25">
      <c r="P46" s="705"/>
      <c r="Q46" s="705"/>
      <c r="R46" s="705"/>
      <c r="S46" s="705"/>
      <c r="T46" s="705"/>
      <c r="U46" s="705"/>
      <c r="V46" s="705"/>
      <c r="W46" s="705"/>
      <c r="X46" s="702"/>
      <c r="Y46" s="702"/>
      <c r="Z46" s="703"/>
      <c r="AA46" s="703"/>
      <c r="AB46" s="703"/>
      <c r="AC46" s="703"/>
    </row>
    <row r="47" spans="4:29" x14ac:dyDescent="0.25">
      <c r="P47" s="705"/>
      <c r="Q47" s="705"/>
      <c r="R47" s="705"/>
      <c r="S47" s="705"/>
      <c r="T47" s="705"/>
      <c r="U47" s="705"/>
      <c r="V47" s="705"/>
      <c r="W47" s="705"/>
      <c r="X47" s="702"/>
      <c r="Y47" s="702"/>
      <c r="Z47" s="703"/>
      <c r="AA47" s="703"/>
      <c r="AB47" s="703"/>
      <c r="AC47" s="703"/>
    </row>
    <row r="48" spans="4:29" x14ac:dyDescent="0.25">
      <c r="P48" s="705"/>
      <c r="Q48" s="705"/>
      <c r="R48" s="705"/>
      <c r="S48" s="705"/>
      <c r="T48" s="705"/>
      <c r="U48" s="705"/>
      <c r="V48" s="705"/>
      <c r="W48" s="705"/>
      <c r="X48" s="702"/>
      <c r="Y48" s="702"/>
      <c r="Z48" s="703"/>
      <c r="AA48" s="703"/>
      <c r="AB48" s="703"/>
      <c r="AC48" s="703"/>
    </row>
    <row r="49" spans="16:29" x14ac:dyDescent="0.25">
      <c r="P49" s="705"/>
      <c r="Q49" s="705"/>
      <c r="R49" s="705"/>
      <c r="S49" s="705"/>
      <c r="T49" s="705"/>
      <c r="U49" s="705"/>
      <c r="V49" s="705"/>
      <c r="W49" s="705"/>
      <c r="X49" s="702"/>
      <c r="Y49" s="702"/>
      <c r="Z49" s="703"/>
      <c r="AA49" s="703"/>
      <c r="AB49" s="703"/>
      <c r="AC49" s="703"/>
    </row>
    <row r="50" spans="16:29" x14ac:dyDescent="0.25">
      <c r="P50" s="705"/>
      <c r="Q50" s="705"/>
      <c r="R50" s="705"/>
      <c r="S50" s="705"/>
      <c r="T50" s="705"/>
      <c r="U50" s="705"/>
      <c r="V50" s="705"/>
      <c r="W50" s="705"/>
      <c r="X50" s="702"/>
      <c r="Y50" s="702"/>
      <c r="Z50" s="703"/>
      <c r="AA50" s="703"/>
      <c r="AB50" s="703"/>
      <c r="AC50" s="703"/>
    </row>
    <row r="51" spans="16:29" x14ac:dyDescent="0.25">
      <c r="P51" s="705"/>
      <c r="Q51" s="705"/>
      <c r="R51" s="705"/>
      <c r="S51" s="705"/>
      <c r="T51" s="705"/>
      <c r="U51" s="705"/>
      <c r="V51" s="705"/>
      <c r="W51" s="705"/>
      <c r="X51" s="702"/>
      <c r="Y51" s="702"/>
      <c r="Z51" s="703"/>
      <c r="AA51" s="703"/>
      <c r="AB51" s="703"/>
      <c r="AC51" s="703"/>
    </row>
    <row r="52" spans="16:29" x14ac:dyDescent="0.25">
      <c r="P52" s="705"/>
      <c r="Q52" s="705"/>
      <c r="R52" s="705"/>
      <c r="S52" s="705"/>
      <c r="T52" s="705"/>
      <c r="U52" s="705"/>
      <c r="V52" s="705"/>
      <c r="W52" s="705"/>
      <c r="X52" s="702"/>
      <c r="Y52" s="702"/>
      <c r="Z52" s="703"/>
      <c r="AA52" s="703"/>
      <c r="AB52" s="703"/>
      <c r="AC52" s="703"/>
    </row>
    <row r="53" spans="16:29" x14ac:dyDescent="0.25">
      <c r="P53" s="705"/>
      <c r="Q53" s="705"/>
      <c r="R53" s="705"/>
      <c r="S53" s="705"/>
      <c r="T53" s="705"/>
      <c r="U53" s="705"/>
      <c r="V53" s="705"/>
      <c r="W53" s="705"/>
      <c r="X53" s="702"/>
      <c r="Y53" s="702"/>
      <c r="Z53" s="703"/>
      <c r="AA53" s="703"/>
      <c r="AB53" s="703"/>
      <c r="AC53" s="703"/>
    </row>
    <row r="54" spans="16:29" x14ac:dyDescent="0.25">
      <c r="P54" s="705"/>
      <c r="Q54" s="705"/>
      <c r="R54" s="705"/>
      <c r="S54" s="705"/>
      <c r="T54" s="705"/>
      <c r="U54" s="705"/>
      <c r="V54" s="705"/>
      <c r="W54" s="705"/>
      <c r="X54" s="702"/>
      <c r="Y54" s="702"/>
      <c r="Z54" s="703"/>
      <c r="AA54" s="703"/>
      <c r="AB54" s="703"/>
      <c r="AC54" s="703"/>
    </row>
    <row r="55" spans="16:29" x14ac:dyDescent="0.25">
      <c r="P55" s="705"/>
      <c r="Q55" s="705"/>
      <c r="R55" s="705"/>
      <c r="S55" s="705"/>
      <c r="T55" s="705"/>
      <c r="U55" s="705"/>
      <c r="V55" s="705"/>
      <c r="W55" s="705"/>
      <c r="X55" s="702"/>
      <c r="Y55" s="702"/>
      <c r="Z55" s="703"/>
      <c r="AA55" s="703"/>
      <c r="AB55" s="703"/>
      <c r="AC55" s="703"/>
    </row>
    <row r="56" spans="16:29" x14ac:dyDescent="0.25">
      <c r="P56" s="705"/>
      <c r="Q56" s="705"/>
      <c r="R56" s="705"/>
      <c r="S56" s="705"/>
      <c r="T56" s="705"/>
      <c r="U56" s="705"/>
      <c r="V56" s="705"/>
      <c r="W56" s="705"/>
      <c r="X56" s="702"/>
      <c r="Y56" s="702"/>
      <c r="Z56" s="703"/>
      <c r="AA56" s="703"/>
      <c r="AB56" s="703"/>
      <c r="AC56" s="703"/>
    </row>
    <row r="57" spans="16:29" x14ac:dyDescent="0.25">
      <c r="P57" s="705"/>
      <c r="Q57" s="705"/>
      <c r="R57" s="705"/>
      <c r="S57" s="705"/>
      <c r="T57" s="705"/>
      <c r="U57" s="705"/>
      <c r="V57" s="705"/>
      <c r="W57" s="705"/>
      <c r="X57" s="702"/>
      <c r="Y57" s="702"/>
      <c r="Z57" s="703"/>
      <c r="AA57" s="703"/>
      <c r="AB57" s="703"/>
      <c r="AC57" s="703"/>
    </row>
    <row r="58" spans="16:29" x14ac:dyDescent="0.25">
      <c r="P58" s="705"/>
      <c r="Q58" s="705"/>
      <c r="R58" s="705"/>
      <c r="S58" s="705"/>
      <c r="T58" s="705"/>
      <c r="U58" s="705"/>
      <c r="V58" s="705"/>
      <c r="W58" s="705"/>
      <c r="X58" s="702"/>
      <c r="Y58" s="702"/>
      <c r="Z58" s="703"/>
      <c r="AA58" s="703"/>
      <c r="AB58" s="703"/>
      <c r="AC58" s="703"/>
    </row>
    <row r="59" spans="16:29" x14ac:dyDescent="0.25">
      <c r="P59" s="705"/>
      <c r="Q59" s="705"/>
      <c r="R59" s="705"/>
      <c r="S59" s="705"/>
      <c r="T59" s="705"/>
      <c r="U59" s="705"/>
      <c r="V59" s="705"/>
      <c r="W59" s="705"/>
      <c r="X59" s="702"/>
      <c r="Y59" s="702"/>
      <c r="Z59" s="703"/>
      <c r="AA59" s="703"/>
      <c r="AB59" s="703"/>
      <c r="AC59" s="703"/>
    </row>
    <row r="60" spans="16:29" x14ac:dyDescent="0.25">
      <c r="P60" s="705"/>
      <c r="Q60" s="705"/>
      <c r="R60" s="705"/>
      <c r="S60" s="705"/>
      <c r="T60" s="705"/>
      <c r="U60" s="705"/>
      <c r="V60" s="705"/>
      <c r="W60" s="705"/>
      <c r="X60" s="702"/>
      <c r="Y60" s="702"/>
      <c r="Z60" s="703"/>
      <c r="AA60" s="703"/>
      <c r="AB60" s="703"/>
      <c r="AC60" s="703"/>
    </row>
    <row r="61" spans="16:29" x14ac:dyDescent="0.25">
      <c r="P61" s="705"/>
      <c r="Q61" s="705"/>
      <c r="R61" s="705"/>
      <c r="S61" s="705"/>
      <c r="T61" s="705"/>
      <c r="U61" s="705"/>
      <c r="V61" s="705"/>
      <c r="W61" s="705"/>
      <c r="X61" s="702"/>
      <c r="Y61" s="702"/>
      <c r="Z61" s="703"/>
      <c r="AA61" s="703"/>
      <c r="AB61" s="703"/>
      <c r="AC61" s="703"/>
    </row>
    <row r="62" spans="16:29" x14ac:dyDescent="0.25">
      <c r="P62" s="705"/>
      <c r="Q62" s="705"/>
      <c r="R62" s="705"/>
      <c r="S62" s="705"/>
      <c r="T62" s="705"/>
      <c r="U62" s="705"/>
      <c r="V62" s="705"/>
      <c r="W62" s="705"/>
      <c r="X62" s="702"/>
      <c r="Y62" s="702"/>
      <c r="Z62" s="703"/>
      <c r="AA62" s="703"/>
      <c r="AB62" s="703"/>
      <c r="AC62" s="703"/>
    </row>
    <row r="63" spans="16:29" x14ac:dyDescent="0.25">
      <c r="P63" s="705"/>
      <c r="Q63" s="705"/>
      <c r="R63" s="705"/>
      <c r="S63" s="705"/>
      <c r="T63" s="705"/>
      <c r="U63" s="705"/>
      <c r="V63" s="705"/>
      <c r="W63" s="705"/>
      <c r="X63" s="702"/>
      <c r="Y63" s="702"/>
      <c r="Z63" s="703"/>
      <c r="AA63" s="703"/>
      <c r="AB63" s="703"/>
      <c r="AC63" s="703"/>
    </row>
    <row r="64" spans="16:29" x14ac:dyDescent="0.25">
      <c r="P64" s="5"/>
      <c r="Q64" s="702"/>
      <c r="R64" s="702"/>
      <c r="S64" s="702"/>
      <c r="T64" s="702"/>
      <c r="U64" s="702"/>
      <c r="V64" s="702"/>
      <c r="W64" s="702"/>
      <c r="X64" s="702"/>
      <c r="Y64" s="702"/>
      <c r="Z64" s="703"/>
      <c r="AA64" s="703"/>
      <c r="AB64" s="703"/>
      <c r="AC64" s="703"/>
    </row>
    <row r="65" spans="16:29" x14ac:dyDescent="0.25">
      <c r="P65" s="5"/>
      <c r="Q65" s="702"/>
      <c r="R65" s="702"/>
      <c r="S65" s="702"/>
      <c r="T65" s="702"/>
      <c r="U65" s="702"/>
      <c r="V65" s="702"/>
      <c r="W65" s="702"/>
      <c r="X65" s="702"/>
      <c r="Y65" s="702"/>
      <c r="Z65" s="703"/>
      <c r="AA65" s="703"/>
      <c r="AB65" s="703"/>
      <c r="AC65" s="703"/>
    </row>
    <row r="66" spans="16:29" x14ac:dyDescent="0.25">
      <c r="P66" s="5"/>
      <c r="Q66" s="702"/>
      <c r="R66" s="702"/>
      <c r="S66" s="702"/>
      <c r="T66" s="702"/>
      <c r="U66" s="702"/>
      <c r="V66" s="702"/>
      <c r="W66" s="702"/>
      <c r="X66" s="702"/>
      <c r="Y66" s="702"/>
      <c r="Z66" s="703"/>
      <c r="AA66" s="703"/>
      <c r="AB66" s="703"/>
      <c r="AC66" s="703"/>
    </row>
    <row r="67" spans="16:29" x14ac:dyDescent="0.25">
      <c r="P67" s="5"/>
      <c r="Q67" s="702"/>
      <c r="R67" s="702"/>
      <c r="S67" s="702"/>
      <c r="T67" s="702"/>
      <c r="U67" s="702"/>
      <c r="V67" s="702"/>
      <c r="W67" s="702"/>
      <c r="X67" s="702"/>
      <c r="Y67" s="702"/>
      <c r="Z67" s="703"/>
      <c r="AA67" s="703"/>
      <c r="AB67" s="703"/>
      <c r="AC67" s="703"/>
    </row>
    <row r="68" spans="16:29" x14ac:dyDescent="0.25">
      <c r="P68" s="5"/>
      <c r="Q68" s="702"/>
      <c r="R68" s="702"/>
      <c r="S68" s="702"/>
      <c r="T68" s="702"/>
      <c r="U68" s="702"/>
      <c r="V68" s="702"/>
      <c r="W68" s="702"/>
      <c r="X68" s="702"/>
      <c r="Y68" s="702"/>
      <c r="Z68" s="703"/>
      <c r="AA68" s="703"/>
      <c r="AB68" s="703"/>
      <c r="AC68" s="703"/>
    </row>
    <row r="69" spans="16:29" x14ac:dyDescent="0.25">
      <c r="P69" s="5"/>
      <c r="Q69" s="702"/>
      <c r="R69" s="702"/>
      <c r="S69" s="702"/>
      <c r="T69" s="702"/>
      <c r="U69" s="702"/>
      <c r="V69" s="702"/>
      <c r="W69" s="702"/>
      <c r="X69" s="702"/>
      <c r="Y69" s="702"/>
      <c r="Z69" s="703"/>
      <c r="AA69" s="703"/>
      <c r="AB69" s="703"/>
      <c r="AC69" s="703"/>
    </row>
    <row r="70" spans="16:29" x14ac:dyDescent="0.25">
      <c r="P70" s="5"/>
      <c r="Q70" s="702"/>
      <c r="R70" s="702"/>
      <c r="S70" s="702"/>
      <c r="T70" s="702"/>
      <c r="U70" s="702"/>
      <c r="V70" s="702"/>
      <c r="W70" s="702"/>
      <c r="X70" s="702"/>
      <c r="Y70" s="702"/>
      <c r="Z70" s="703"/>
      <c r="AA70" s="703"/>
      <c r="AB70" s="703"/>
      <c r="AC70" s="703"/>
    </row>
    <row r="71" spans="16:29" x14ac:dyDescent="0.25">
      <c r="P71" s="5"/>
      <c r="Q71" s="702"/>
      <c r="R71" s="702"/>
      <c r="S71" s="702"/>
      <c r="T71" s="702"/>
      <c r="U71" s="702"/>
      <c r="V71" s="702"/>
      <c r="W71" s="702"/>
      <c r="X71" s="702"/>
      <c r="Y71" s="702"/>
      <c r="Z71" s="703"/>
      <c r="AA71" s="703"/>
      <c r="AB71" s="703"/>
      <c r="AC71" s="703"/>
    </row>
    <row r="72" spans="16:29" x14ac:dyDescent="0.25">
      <c r="Q72" s="703"/>
      <c r="R72" s="703"/>
      <c r="S72" s="703"/>
      <c r="T72" s="703"/>
      <c r="U72" s="703"/>
      <c r="V72" s="703"/>
      <c r="W72" s="703"/>
      <c r="X72" s="703"/>
      <c r="Y72" s="703"/>
      <c r="Z72" s="703"/>
      <c r="AA72" s="703"/>
      <c r="AB72" s="703"/>
      <c r="AC72" s="703"/>
    </row>
    <row r="73" spans="16:29" x14ac:dyDescent="0.25">
      <c r="Q73" s="703"/>
      <c r="R73" s="703"/>
      <c r="S73" s="703"/>
      <c r="T73" s="703"/>
      <c r="U73" s="703"/>
      <c r="V73" s="703"/>
      <c r="W73" s="703"/>
      <c r="X73" s="703"/>
      <c r="Y73" s="703"/>
      <c r="Z73" s="703"/>
      <c r="AA73" s="703"/>
      <c r="AB73" s="703"/>
      <c r="AC73" s="703"/>
    </row>
    <row r="74" spans="16:29" x14ac:dyDescent="0.25">
      <c r="Q74" s="703"/>
      <c r="R74" s="703"/>
      <c r="S74" s="703"/>
      <c r="T74" s="703"/>
      <c r="U74" s="703"/>
      <c r="V74" s="703"/>
      <c r="W74" s="703"/>
      <c r="X74" s="703"/>
      <c r="Y74" s="703"/>
      <c r="Z74" s="703"/>
      <c r="AA74" s="703"/>
      <c r="AB74" s="703"/>
      <c r="AC74" s="703"/>
    </row>
    <row r="75" spans="16:29" x14ac:dyDescent="0.25">
      <c r="Q75" s="703"/>
      <c r="R75" s="703"/>
      <c r="S75" s="703"/>
      <c r="T75" s="703"/>
      <c r="U75" s="703"/>
      <c r="V75" s="703"/>
      <c r="W75" s="703"/>
      <c r="X75" s="703"/>
      <c r="Y75" s="703"/>
      <c r="Z75" s="703"/>
      <c r="AA75" s="703"/>
      <c r="AB75" s="703"/>
      <c r="AC75" s="703"/>
    </row>
    <row r="76" spans="16:29" x14ac:dyDescent="0.25">
      <c r="Q76" s="703"/>
      <c r="R76" s="703"/>
      <c r="S76" s="703"/>
      <c r="T76" s="703"/>
      <c r="U76" s="703"/>
      <c r="V76" s="703"/>
      <c r="W76" s="703"/>
      <c r="X76" s="703"/>
      <c r="Y76" s="703"/>
      <c r="Z76" s="703"/>
      <c r="AA76" s="703"/>
      <c r="AB76" s="703"/>
      <c r="AC76" s="703"/>
    </row>
    <row r="77" spans="16:29" x14ac:dyDescent="0.25">
      <c r="Q77" s="703"/>
      <c r="R77" s="703"/>
      <c r="S77" s="703"/>
      <c r="T77" s="703"/>
      <c r="U77" s="703"/>
      <c r="V77" s="703"/>
      <c r="W77" s="703"/>
      <c r="X77" s="703"/>
      <c r="Y77" s="703"/>
      <c r="Z77" s="703"/>
      <c r="AA77" s="703"/>
      <c r="AB77" s="703"/>
      <c r="AC77" s="703"/>
    </row>
    <row r="78" spans="16:29" x14ac:dyDescent="0.25">
      <c r="Q78" s="703"/>
      <c r="R78" s="703"/>
      <c r="S78" s="703"/>
      <c r="T78" s="703"/>
      <c r="U78" s="703"/>
      <c r="V78" s="703"/>
      <c r="W78" s="703"/>
      <c r="X78" s="703"/>
      <c r="Y78" s="703"/>
      <c r="Z78" s="703"/>
      <c r="AA78" s="703"/>
      <c r="AB78" s="703"/>
      <c r="AC78" s="703"/>
    </row>
    <row r="79" spans="16:29" x14ac:dyDescent="0.25">
      <c r="Q79" s="703"/>
      <c r="R79" s="703"/>
      <c r="S79" s="703"/>
      <c r="T79" s="703"/>
      <c r="U79" s="703"/>
      <c r="V79" s="703"/>
      <c r="W79" s="703"/>
      <c r="X79" s="703"/>
      <c r="Y79" s="703"/>
      <c r="Z79" s="703"/>
      <c r="AA79" s="703"/>
      <c r="AB79" s="703"/>
      <c r="AC79" s="703"/>
    </row>
    <row r="80" spans="16:29" x14ac:dyDescent="0.25">
      <c r="Q80" s="703"/>
      <c r="R80" s="703"/>
      <c r="S80" s="703"/>
      <c r="T80" s="703"/>
      <c r="U80" s="703"/>
      <c r="V80" s="703"/>
      <c r="W80" s="703"/>
      <c r="X80" s="703"/>
      <c r="Y80" s="703"/>
      <c r="Z80" s="703"/>
      <c r="AA80" s="703"/>
      <c r="AB80" s="703"/>
      <c r="AC80" s="703"/>
    </row>
    <row r="81" spans="17:29" x14ac:dyDescent="0.25">
      <c r="Q81" s="703"/>
      <c r="R81" s="703"/>
      <c r="S81" s="703"/>
      <c r="T81" s="703"/>
      <c r="U81" s="703"/>
      <c r="V81" s="703"/>
      <c r="W81" s="703"/>
      <c r="X81" s="703"/>
      <c r="Y81" s="703"/>
      <c r="Z81" s="703"/>
      <c r="AA81" s="703"/>
      <c r="AB81" s="703"/>
      <c r="AC81" s="703"/>
    </row>
    <row r="82" spans="17:29" x14ac:dyDescent="0.25">
      <c r="Q82" s="703"/>
      <c r="R82" s="703"/>
      <c r="S82" s="703"/>
      <c r="T82" s="703"/>
      <c r="U82" s="703"/>
      <c r="V82" s="703"/>
      <c r="W82" s="703"/>
      <c r="X82" s="703"/>
      <c r="Y82" s="703"/>
      <c r="Z82" s="703"/>
      <c r="AA82" s="703"/>
      <c r="AB82" s="703"/>
      <c r="AC82" s="703"/>
    </row>
    <row r="83" spans="17:29" x14ac:dyDescent="0.25">
      <c r="Q83" s="703"/>
      <c r="R83" s="703"/>
      <c r="S83" s="703"/>
      <c r="T83" s="703"/>
      <c r="U83" s="703"/>
      <c r="V83" s="703"/>
      <c r="W83" s="703"/>
      <c r="X83" s="703"/>
      <c r="Y83" s="703"/>
      <c r="Z83" s="703"/>
      <c r="AA83" s="703"/>
      <c r="AB83" s="703"/>
      <c r="AC83" s="703"/>
    </row>
    <row r="84" spans="17:29" x14ac:dyDescent="0.25">
      <c r="Q84" s="703"/>
      <c r="R84" s="703"/>
      <c r="S84" s="703"/>
      <c r="T84" s="703"/>
      <c r="U84" s="703"/>
      <c r="V84" s="703"/>
      <c r="W84" s="703"/>
      <c r="X84" s="703"/>
      <c r="Y84" s="703"/>
      <c r="Z84" s="703"/>
      <c r="AA84" s="703"/>
      <c r="AB84" s="703"/>
      <c r="AC84" s="703"/>
    </row>
    <row r="85" spans="17:29" x14ac:dyDescent="0.25">
      <c r="Q85" s="703"/>
      <c r="R85" s="703"/>
      <c r="S85" s="703"/>
      <c r="T85" s="703"/>
      <c r="U85" s="703"/>
      <c r="V85" s="703"/>
      <c r="W85" s="703"/>
      <c r="X85" s="703"/>
      <c r="Y85" s="703"/>
      <c r="Z85" s="703"/>
      <c r="AA85" s="703"/>
      <c r="AB85" s="703"/>
      <c r="AC85" s="703"/>
    </row>
    <row r="86" spans="17:29" x14ac:dyDescent="0.25">
      <c r="Q86" s="703"/>
      <c r="R86" s="703"/>
      <c r="S86" s="703"/>
      <c r="T86" s="703"/>
      <c r="U86" s="703"/>
      <c r="V86" s="703"/>
      <c r="W86" s="703"/>
      <c r="X86" s="703"/>
      <c r="Y86" s="703"/>
      <c r="Z86" s="703"/>
      <c r="AA86" s="703"/>
      <c r="AB86" s="703"/>
      <c r="AC86" s="703"/>
    </row>
    <row r="87" spans="17:29" x14ac:dyDescent="0.25">
      <c r="Q87" s="703"/>
      <c r="R87" s="703"/>
      <c r="S87" s="703"/>
      <c r="T87" s="703"/>
      <c r="U87" s="703"/>
      <c r="V87" s="703"/>
      <c r="W87" s="703"/>
      <c r="X87" s="703"/>
      <c r="Y87" s="703"/>
      <c r="Z87" s="703"/>
      <c r="AA87" s="703"/>
      <c r="AB87" s="703"/>
      <c r="AC87" s="703"/>
    </row>
    <row r="88" spans="17:29" x14ac:dyDescent="0.25">
      <c r="Q88" s="703"/>
      <c r="R88" s="703"/>
      <c r="S88" s="703"/>
      <c r="T88" s="703"/>
      <c r="U88" s="703"/>
      <c r="V88" s="703"/>
      <c r="W88" s="703"/>
      <c r="X88" s="703"/>
      <c r="Y88" s="703"/>
      <c r="Z88" s="703"/>
      <c r="AA88" s="703"/>
      <c r="AB88" s="703"/>
      <c r="AC88" s="703"/>
    </row>
    <row r="89" spans="17:29" x14ac:dyDescent="0.25">
      <c r="Q89" s="703"/>
      <c r="R89" s="703"/>
      <c r="S89" s="703"/>
      <c r="T89" s="703"/>
      <c r="U89" s="703"/>
      <c r="V89" s="703"/>
      <c r="W89" s="703"/>
      <c r="X89" s="703"/>
      <c r="Y89" s="703"/>
      <c r="Z89" s="703"/>
      <c r="AA89" s="703"/>
      <c r="AB89" s="703"/>
      <c r="AC89" s="703"/>
    </row>
    <row r="90" spans="17:29" x14ac:dyDescent="0.25">
      <c r="Q90" s="703"/>
      <c r="R90" s="703"/>
      <c r="S90" s="703"/>
      <c r="T90" s="703"/>
      <c r="U90" s="703"/>
      <c r="V90" s="703"/>
      <c r="W90" s="703"/>
      <c r="X90" s="703"/>
      <c r="Y90" s="703"/>
      <c r="Z90" s="703"/>
      <c r="AA90" s="703"/>
      <c r="AB90" s="703"/>
      <c r="AC90" s="703"/>
    </row>
    <row r="91" spans="17:29" x14ac:dyDescent="0.25">
      <c r="Q91" s="703"/>
      <c r="R91" s="703"/>
      <c r="S91" s="703"/>
      <c r="T91" s="703"/>
      <c r="U91" s="703"/>
      <c r="V91" s="703"/>
      <c r="W91" s="703"/>
      <c r="X91" s="703"/>
      <c r="Y91" s="703"/>
      <c r="Z91" s="703"/>
      <c r="AA91" s="703"/>
      <c r="AB91" s="703"/>
      <c r="AC91" s="703"/>
    </row>
    <row r="92" spans="17:29" x14ac:dyDescent="0.25">
      <c r="Q92" s="703"/>
      <c r="R92" s="703"/>
      <c r="S92" s="703"/>
      <c r="T92" s="703"/>
      <c r="U92" s="703"/>
      <c r="V92" s="703"/>
      <c r="W92" s="703"/>
      <c r="X92" s="703"/>
      <c r="Y92" s="703"/>
      <c r="Z92" s="703"/>
      <c r="AA92" s="703"/>
      <c r="AB92" s="703"/>
      <c r="AC92" s="703"/>
    </row>
    <row r="93" spans="17:29" x14ac:dyDescent="0.25">
      <c r="Q93" s="703"/>
      <c r="R93" s="703"/>
      <c r="S93" s="703"/>
      <c r="T93" s="703"/>
      <c r="U93" s="703"/>
      <c r="V93" s="703"/>
      <c r="W93" s="703"/>
      <c r="X93" s="703"/>
      <c r="Y93" s="703"/>
      <c r="Z93" s="703"/>
      <c r="AA93" s="703"/>
      <c r="AB93" s="703"/>
      <c r="AC93" s="703"/>
    </row>
    <row r="94" spans="17:29" x14ac:dyDescent="0.25">
      <c r="Q94" s="703"/>
      <c r="R94" s="703"/>
      <c r="S94" s="703"/>
      <c r="T94" s="703"/>
      <c r="U94" s="703"/>
      <c r="V94" s="703"/>
      <c r="W94" s="703"/>
      <c r="X94" s="703"/>
      <c r="Y94" s="703"/>
      <c r="Z94" s="703"/>
      <c r="AA94" s="703"/>
      <c r="AB94" s="703"/>
      <c r="AC94" s="703"/>
    </row>
    <row r="95" spans="17:29" x14ac:dyDescent="0.25">
      <c r="Q95" s="703"/>
      <c r="R95" s="703"/>
      <c r="S95" s="703"/>
      <c r="T95" s="703"/>
      <c r="U95" s="703"/>
      <c r="V95" s="703"/>
      <c r="W95" s="703"/>
      <c r="X95" s="703"/>
      <c r="Y95" s="703"/>
      <c r="Z95" s="703"/>
      <c r="AA95" s="703"/>
      <c r="AB95" s="703"/>
      <c r="AC95" s="703"/>
    </row>
  </sheetData>
  <sheetProtection sheet="1" formatCells="0" formatColumns="0" formatRows="0"/>
  <mergeCells count="1">
    <mergeCell ref="R4:R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tabColor rgb="FFFFC000"/>
  </sheetPr>
  <dimension ref="A1:S492"/>
  <sheetViews>
    <sheetView showGridLines="0" zoomScale="80" zoomScaleNormal="80" workbookViewId="0"/>
  </sheetViews>
  <sheetFormatPr defaultColWidth="9.1796875" defaultRowHeight="13.95" customHeight="1" x14ac:dyDescent="0.25"/>
  <cols>
    <col min="1" max="2" width="1.6328125" style="140" customWidth="1"/>
    <col min="3" max="3" width="2.6328125" style="140" customWidth="1"/>
    <col min="4" max="4" width="19.453125" style="140" customWidth="1"/>
    <col min="5" max="5" width="13.90625" style="303" customWidth="1"/>
    <col min="6" max="6" width="2.6328125" style="140" customWidth="1"/>
    <col min="7" max="7" width="16.1796875" style="140" customWidth="1"/>
    <col min="8" max="8" width="9.453125" style="140" customWidth="1"/>
    <col min="9" max="9" width="9.54296875" style="140" customWidth="1"/>
    <col min="10" max="10" width="12.7265625" style="140" customWidth="1"/>
    <col min="11" max="11" width="12.81640625" style="140" customWidth="1"/>
    <col min="12" max="12" width="12.1796875" style="140" customWidth="1"/>
    <col min="13" max="14" width="1.6328125" style="140" customWidth="1"/>
    <col min="15" max="15" width="1.6328125" style="303" customWidth="1"/>
    <col min="16" max="17" width="9.1796875" style="246"/>
    <col min="18" max="18" width="80.6328125" style="246" customWidth="1"/>
    <col min="19" max="16384" width="9.1796875" style="246"/>
  </cols>
  <sheetData>
    <row r="1" spans="1:19" s="140" customFormat="1" ht="13.95" customHeight="1" x14ac:dyDescent="0.25">
      <c r="A1" s="135"/>
      <c r="B1" s="135"/>
      <c r="C1" s="135"/>
      <c r="D1" s="135"/>
      <c r="E1" s="137"/>
      <c r="F1" s="135"/>
      <c r="G1" s="135"/>
      <c r="H1" s="135"/>
      <c r="I1" s="135"/>
      <c r="J1" s="135"/>
      <c r="K1" s="135"/>
      <c r="L1" s="135"/>
      <c r="M1" s="135"/>
      <c r="N1" s="135"/>
      <c r="O1" s="274"/>
      <c r="Q1" s="754"/>
      <c r="R1" s="754"/>
      <c r="S1" s="755"/>
    </row>
    <row r="2" spans="1:19" s="257" customFormat="1" ht="18" customHeight="1" x14ac:dyDescent="0.25">
      <c r="A2" s="252"/>
      <c r="B2" s="142"/>
      <c r="C2" s="144"/>
      <c r="D2" s="144"/>
      <c r="E2" s="438"/>
      <c r="F2" s="144"/>
      <c r="G2" s="144"/>
      <c r="H2" s="144"/>
      <c r="I2" s="144"/>
      <c r="J2" s="144"/>
      <c r="K2" s="144"/>
      <c r="L2" s="144"/>
      <c r="M2" s="144"/>
      <c r="N2" s="366"/>
      <c r="O2" s="274"/>
      <c r="Q2" s="754"/>
      <c r="R2" s="827" t="s">
        <v>1956</v>
      </c>
      <c r="S2" s="755"/>
    </row>
    <row r="3" spans="1:19" s="140" customFormat="1" ht="18" customHeight="1" x14ac:dyDescent="0.25">
      <c r="A3" s="135"/>
      <c r="B3" s="157"/>
      <c r="C3" s="260"/>
      <c r="D3" s="260"/>
      <c r="E3" s="432"/>
      <c r="F3" s="260"/>
      <c r="G3" s="260"/>
      <c r="H3" s="260"/>
      <c r="I3" s="260"/>
      <c r="J3" s="260"/>
      <c r="K3" s="260"/>
      <c r="L3" s="260"/>
      <c r="M3" s="260"/>
      <c r="N3" s="273"/>
      <c r="O3" s="274"/>
      <c r="Q3" s="754"/>
      <c r="R3" s="828"/>
      <c r="S3" s="755"/>
    </row>
    <row r="4" spans="1:19" s="140" customFormat="1" ht="30" customHeight="1" x14ac:dyDescent="0.25">
      <c r="A4" s="135"/>
      <c r="B4" s="157"/>
      <c r="C4" s="260"/>
      <c r="D4" s="530" t="str">
        <f>IF(VLOOKUP("KM81",Languages!$A:$D,1,TRUE)="KM81",VLOOKUP("KM81",Languages!$A:$D,Summary!$C$7,TRUE),NA())</f>
        <v>Arviointitulosten vienti</v>
      </c>
      <c r="E4" s="432"/>
      <c r="F4" s="260"/>
      <c r="G4" s="260"/>
      <c r="H4" s="260"/>
      <c r="I4" s="260"/>
      <c r="J4" s="260"/>
      <c r="K4" s="260"/>
      <c r="L4" s="260"/>
      <c r="M4" s="260"/>
      <c r="N4" s="273"/>
      <c r="O4" s="274"/>
      <c r="Q4" s="754"/>
      <c r="R4" s="1285" t="s">
        <v>2592</v>
      </c>
      <c r="S4" s="755"/>
    </row>
    <row r="5" spans="1:19" s="140" customFormat="1" ht="13.95" customHeight="1" x14ac:dyDescent="0.25">
      <c r="A5" s="135"/>
      <c r="B5" s="157"/>
      <c r="C5" s="260"/>
      <c r="D5" s="260"/>
      <c r="E5" s="432"/>
      <c r="F5" s="260"/>
      <c r="G5" s="260"/>
      <c r="H5" s="260"/>
      <c r="I5" s="260"/>
      <c r="J5" s="260"/>
      <c r="K5" s="260"/>
      <c r="L5" s="260"/>
      <c r="M5" s="260"/>
      <c r="N5" s="273"/>
      <c r="O5" s="274"/>
      <c r="Q5" s="754"/>
      <c r="R5" s="1285"/>
      <c r="S5" s="755"/>
    </row>
    <row r="6" spans="1:19" s="371" customFormat="1" ht="13.95" customHeight="1" x14ac:dyDescent="0.25">
      <c r="A6" s="135"/>
      <c r="B6" s="368"/>
      <c r="C6" s="369"/>
      <c r="D6" s="531" t="str">
        <f>IF(VLOOKUP("KM53",Languages!$A:$D,1,TRUE)="KM53",VLOOKUP("KM53",Languages!$A:$D,Summary!$C$7,TRUE),NA())</f>
        <v>Arviointitulosten vienti</v>
      </c>
      <c r="E6" s="301"/>
      <c r="F6" s="369"/>
      <c r="G6" s="531" t="str">
        <f>IF(VLOOKUP("KM53",Languages!$A:$D,1,TRUE)="KM53",VLOOKUP("KM53",Languages!$A:$D,Summary!$C$7,TRUE),NA())</f>
        <v>Arviointitulosten vienti</v>
      </c>
      <c r="H6" s="531"/>
      <c r="I6" s="372"/>
      <c r="J6" s="372"/>
      <c r="K6" s="372"/>
      <c r="L6" s="372"/>
      <c r="M6" s="369"/>
      <c r="N6" s="370"/>
      <c r="O6" s="315"/>
      <c r="Q6" s="754"/>
      <c r="R6" s="1285"/>
      <c r="S6" s="754"/>
    </row>
    <row r="7" spans="1:19" s="140" customFormat="1" ht="70.2" customHeight="1" x14ac:dyDescent="0.25">
      <c r="A7" s="135"/>
      <c r="B7" s="157"/>
      <c r="C7" s="260"/>
      <c r="D7" s="1287"/>
      <c r="E7" s="1287"/>
      <c r="F7" s="260"/>
      <c r="G7" s="860"/>
      <c r="H7" s="860"/>
      <c r="I7" s="860"/>
      <c r="J7" s="860"/>
      <c r="K7" s="860"/>
      <c r="L7" s="860"/>
      <c r="M7" s="260"/>
      <c r="N7" s="273"/>
      <c r="O7" s="274"/>
      <c r="Q7" s="754"/>
      <c r="R7" s="1285"/>
      <c r="S7" s="754"/>
    </row>
    <row r="8" spans="1:19" s="140" customFormat="1" ht="13.95" customHeight="1" x14ac:dyDescent="0.25">
      <c r="A8" s="135"/>
      <c r="B8" s="157"/>
      <c r="C8" s="260"/>
      <c r="D8" s="260"/>
      <c r="E8" s="432"/>
      <c r="F8" s="260"/>
      <c r="G8" s="372"/>
      <c r="H8" s="372"/>
      <c r="I8" s="372"/>
      <c r="J8" s="372"/>
      <c r="K8" s="372"/>
      <c r="L8" s="372"/>
      <c r="M8" s="260"/>
      <c r="N8" s="273"/>
      <c r="O8" s="315"/>
      <c r="Q8" s="754"/>
      <c r="R8" s="1285"/>
      <c r="S8" s="754"/>
    </row>
    <row r="9" spans="1:19" ht="13.95" customHeight="1" x14ac:dyDescent="0.25">
      <c r="A9" s="166"/>
      <c r="B9" s="269"/>
      <c r="C9" s="372"/>
      <c r="D9" s="994" t="s">
        <v>31</v>
      </c>
      <c r="E9" s="995" t="s">
        <v>589</v>
      </c>
      <c r="F9" s="372"/>
      <c r="G9" s="994" t="s">
        <v>31</v>
      </c>
      <c r="H9" s="994" t="s">
        <v>589</v>
      </c>
      <c r="I9" s="996" t="s">
        <v>402</v>
      </c>
      <c r="J9" s="996" t="s">
        <v>1448</v>
      </c>
      <c r="K9" s="996" t="s">
        <v>1449</v>
      </c>
      <c r="L9" s="996" t="s">
        <v>1450</v>
      </c>
      <c r="M9" s="260"/>
      <c r="N9" s="273"/>
      <c r="O9" s="274"/>
      <c r="Q9" s="754"/>
      <c r="R9" s="1285"/>
      <c r="S9" s="754"/>
    </row>
    <row r="10" spans="1:19" ht="13.95" customHeight="1" x14ac:dyDescent="0.25">
      <c r="A10" s="166"/>
      <c r="B10" s="269"/>
      <c r="C10" s="372"/>
      <c r="D10" s="836" t="s">
        <v>622</v>
      </c>
      <c r="E10" s="849">
        <f>Summary!$H$4</f>
        <v>0</v>
      </c>
      <c r="F10" s="372"/>
      <c r="G10" s="836" t="s">
        <v>622</v>
      </c>
      <c r="H10" s="849">
        <f>Summary!$H$4</f>
        <v>0</v>
      </c>
      <c r="I10" s="840" t="s">
        <v>1447</v>
      </c>
      <c r="J10" s="840" t="s">
        <v>1447</v>
      </c>
      <c r="K10" s="840" t="s">
        <v>1447</v>
      </c>
      <c r="L10" s="840" t="s">
        <v>1447</v>
      </c>
      <c r="M10" s="260"/>
      <c r="N10" s="273"/>
      <c r="O10" s="274"/>
      <c r="Q10" s="754"/>
      <c r="R10" s="1285"/>
      <c r="S10" s="754"/>
    </row>
    <row r="11" spans="1:19" ht="13.95" customHeight="1" x14ac:dyDescent="0.25">
      <c r="A11" s="166"/>
      <c r="B11" s="356"/>
      <c r="C11" s="373"/>
      <c r="D11" s="836" t="s">
        <v>619</v>
      </c>
      <c r="E11" s="850">
        <f>Summary!$E11</f>
        <v>0</v>
      </c>
      <c r="F11" s="373"/>
      <c r="G11" s="836" t="s">
        <v>619</v>
      </c>
      <c r="H11" s="850">
        <f>Summary!$E11</f>
        <v>0</v>
      </c>
      <c r="I11" s="840" t="s">
        <v>1447</v>
      </c>
      <c r="J11" s="840" t="s">
        <v>1447</v>
      </c>
      <c r="K11" s="840" t="s">
        <v>1447</v>
      </c>
      <c r="L11" s="840" t="s">
        <v>1447</v>
      </c>
      <c r="M11" s="260"/>
      <c r="N11" s="273"/>
      <c r="O11" s="274"/>
      <c r="Q11" s="754"/>
      <c r="R11" s="1285"/>
      <c r="S11" s="754"/>
    </row>
    <row r="12" spans="1:19" ht="13.95" customHeight="1" x14ac:dyDescent="0.25">
      <c r="A12" s="166"/>
      <c r="B12" s="356"/>
      <c r="C12" s="373"/>
      <c r="D12" s="836" t="s">
        <v>2546</v>
      </c>
      <c r="E12" s="850">
        <f>Summary!$I11</f>
        <v>0</v>
      </c>
      <c r="F12" s="373"/>
      <c r="G12" s="836" t="s">
        <v>2546</v>
      </c>
      <c r="H12" s="850">
        <f>Summary!$I11</f>
        <v>0</v>
      </c>
      <c r="I12" s="839" t="s">
        <v>1447</v>
      </c>
      <c r="J12" s="839" t="s">
        <v>1447</v>
      </c>
      <c r="K12" s="839" t="s">
        <v>1447</v>
      </c>
      <c r="L12" s="839" t="s">
        <v>1447</v>
      </c>
      <c r="M12" s="260"/>
      <c r="N12" s="273"/>
      <c r="O12" s="274"/>
      <c r="Q12" s="754"/>
      <c r="R12" s="1285"/>
      <c r="S12" s="754"/>
    </row>
    <row r="13" spans="1:19" ht="13.95" customHeight="1" x14ac:dyDescent="0.25">
      <c r="A13" s="166"/>
      <c r="B13" s="269"/>
      <c r="C13" s="372"/>
      <c r="D13" s="836" t="s">
        <v>620</v>
      </c>
      <c r="E13" s="850">
        <f>Summary!$E12</f>
        <v>0</v>
      </c>
      <c r="F13" s="372"/>
      <c r="G13" s="836" t="s">
        <v>620</v>
      </c>
      <c r="H13" s="850">
        <f>Summary!$E12</f>
        <v>0</v>
      </c>
      <c r="I13" s="840" t="s">
        <v>1447</v>
      </c>
      <c r="J13" s="840" t="s">
        <v>1447</v>
      </c>
      <c r="K13" s="840" t="s">
        <v>1447</v>
      </c>
      <c r="L13" s="840" t="s">
        <v>1447</v>
      </c>
      <c r="M13" s="260"/>
      <c r="N13" s="273"/>
      <c r="O13" s="274"/>
      <c r="Q13" s="754"/>
      <c r="R13" s="1285"/>
      <c r="S13" s="754"/>
    </row>
    <row r="14" spans="1:19" ht="13.95" customHeight="1" x14ac:dyDescent="0.25">
      <c r="A14" s="166"/>
      <c r="B14" s="269"/>
      <c r="C14" s="372"/>
      <c r="D14" s="836" t="s">
        <v>621</v>
      </c>
      <c r="E14" s="850">
        <f>Summary!$E13</f>
        <v>0</v>
      </c>
      <c r="F14" s="372"/>
      <c r="G14" s="836" t="s">
        <v>621</v>
      </c>
      <c r="H14" s="850">
        <f>Summary!$E13</f>
        <v>0</v>
      </c>
      <c r="I14" s="840" t="s">
        <v>1447</v>
      </c>
      <c r="J14" s="840" t="s">
        <v>1447</v>
      </c>
      <c r="K14" s="840" t="s">
        <v>1447</v>
      </c>
      <c r="L14" s="840" t="s">
        <v>1447</v>
      </c>
      <c r="M14" s="260"/>
      <c r="N14" s="273"/>
      <c r="O14" s="274"/>
      <c r="Q14" s="754"/>
      <c r="R14" s="1285"/>
      <c r="S14" s="754"/>
    </row>
    <row r="15" spans="1:19" ht="13.95" customHeight="1" x14ac:dyDescent="0.25">
      <c r="A15" s="166"/>
      <c r="B15" s="269"/>
      <c r="C15" s="372"/>
      <c r="D15" s="836" t="s">
        <v>1927</v>
      </c>
      <c r="E15" s="850" t="str">
        <f>Summary!$E3</f>
        <v>2.1</v>
      </c>
      <c r="F15" s="372"/>
      <c r="G15" s="836" t="s">
        <v>1927</v>
      </c>
      <c r="H15" s="850" t="str">
        <f>Summary!$E3</f>
        <v>2.1</v>
      </c>
      <c r="I15" s="839" t="s">
        <v>1447</v>
      </c>
      <c r="J15" s="839" t="s">
        <v>1447</v>
      </c>
      <c r="K15" s="839" t="s">
        <v>1447</v>
      </c>
      <c r="L15" s="839" t="s">
        <v>1447</v>
      </c>
      <c r="M15" s="260"/>
      <c r="N15" s="273"/>
      <c r="O15" s="274"/>
      <c r="Q15" s="754"/>
      <c r="R15" s="1285"/>
      <c r="S15" s="754"/>
    </row>
    <row r="16" spans="1:19" ht="13.95" customHeight="1" x14ac:dyDescent="0.25">
      <c r="A16" s="166"/>
      <c r="B16" s="269"/>
      <c r="C16" s="372"/>
      <c r="D16" s="836" t="s">
        <v>1928</v>
      </c>
      <c r="E16" s="1006">
        <f>Summary!$E15</f>
        <v>0</v>
      </c>
      <c r="F16" s="372"/>
      <c r="G16" s="836" t="s">
        <v>1928</v>
      </c>
      <c r="H16" s="1006">
        <f>Summary!$E15</f>
        <v>0</v>
      </c>
      <c r="I16" s="839" t="s">
        <v>1447</v>
      </c>
      <c r="J16" s="839" t="s">
        <v>1447</v>
      </c>
      <c r="K16" s="839" t="s">
        <v>1447</v>
      </c>
      <c r="L16" s="839" t="s">
        <v>1447</v>
      </c>
      <c r="M16" s="260"/>
      <c r="N16" s="273"/>
      <c r="O16" s="274"/>
      <c r="Q16" s="754"/>
      <c r="R16" s="1286"/>
      <c r="S16" s="754"/>
    </row>
    <row r="17" spans="1:19" ht="13.95" customHeight="1" x14ac:dyDescent="0.25">
      <c r="A17" s="166"/>
      <c r="B17" s="269"/>
      <c r="C17" s="372"/>
      <c r="D17" s="834" t="s">
        <v>1922</v>
      </c>
      <c r="E17" s="851">
        <f ca="1">NISTmap!$J$7</f>
        <v>0</v>
      </c>
      <c r="F17" s="372"/>
      <c r="G17" s="834" t="s">
        <v>1922</v>
      </c>
      <c r="H17" s="851">
        <f ca="1">NISTmap!$J$7</f>
        <v>0</v>
      </c>
      <c r="I17" s="842" t="s">
        <v>1447</v>
      </c>
      <c r="J17" s="842" t="s">
        <v>1447</v>
      </c>
      <c r="K17" s="842" t="s">
        <v>1447</v>
      </c>
      <c r="L17" s="842" t="s">
        <v>1447</v>
      </c>
      <c r="M17" s="260"/>
      <c r="N17" s="273"/>
      <c r="O17" s="274"/>
      <c r="Q17" s="754"/>
      <c r="R17" s="754"/>
      <c r="S17" s="754"/>
    </row>
    <row r="18" spans="1:19" ht="13.95" customHeight="1" x14ac:dyDescent="0.25">
      <c r="A18" s="166"/>
      <c r="B18" s="269"/>
      <c r="C18" s="372"/>
      <c r="D18" s="834" t="s">
        <v>1923</v>
      </c>
      <c r="E18" s="851">
        <f ca="1">NISTmap!$K$7</f>
        <v>0</v>
      </c>
      <c r="F18" s="372"/>
      <c r="G18" s="834" t="s">
        <v>1923</v>
      </c>
      <c r="H18" s="851">
        <f ca="1">NISTmap!$K$7</f>
        <v>0</v>
      </c>
      <c r="I18" s="842" t="s">
        <v>1447</v>
      </c>
      <c r="J18" s="842" t="s">
        <v>1447</v>
      </c>
      <c r="K18" s="842" t="s">
        <v>1447</v>
      </c>
      <c r="L18" s="842" t="s">
        <v>1447</v>
      </c>
      <c r="M18" s="260"/>
      <c r="N18" s="273"/>
      <c r="O18" s="274"/>
    </row>
    <row r="19" spans="1:19" ht="13.95" customHeight="1" x14ac:dyDescent="0.25">
      <c r="A19" s="166"/>
      <c r="B19" s="269"/>
      <c r="C19" s="372"/>
      <c r="D19" s="834" t="s">
        <v>1926</v>
      </c>
      <c r="E19" s="851">
        <f ca="1">NISTmap!$L$7</f>
        <v>0</v>
      </c>
      <c r="F19" s="372"/>
      <c r="G19" s="834" t="s">
        <v>1926</v>
      </c>
      <c r="H19" s="851">
        <f ca="1">NISTmap!$L$7</f>
        <v>0</v>
      </c>
      <c r="I19" s="842" t="s">
        <v>1447</v>
      </c>
      <c r="J19" s="842" t="s">
        <v>1447</v>
      </c>
      <c r="K19" s="842" t="s">
        <v>1447</v>
      </c>
      <c r="L19" s="842" t="s">
        <v>1447</v>
      </c>
      <c r="M19" s="260"/>
      <c r="N19" s="273"/>
      <c r="O19" s="274"/>
    </row>
    <row r="20" spans="1:19" ht="13.95" customHeight="1" x14ac:dyDescent="0.25">
      <c r="A20" s="166"/>
      <c r="B20" s="269"/>
      <c r="C20" s="372"/>
      <c r="D20" s="834" t="s">
        <v>1925</v>
      </c>
      <c r="E20" s="851">
        <f ca="1">NISTmap!$M$7</f>
        <v>0</v>
      </c>
      <c r="F20" s="372"/>
      <c r="G20" s="834" t="s">
        <v>1925</v>
      </c>
      <c r="H20" s="851">
        <f ca="1">NISTmap!$M$7</f>
        <v>0</v>
      </c>
      <c r="I20" s="842" t="s">
        <v>1447</v>
      </c>
      <c r="J20" s="842" t="s">
        <v>1447</v>
      </c>
      <c r="K20" s="842" t="s">
        <v>1447</v>
      </c>
      <c r="L20" s="842" t="s">
        <v>1447</v>
      </c>
      <c r="M20" s="260"/>
      <c r="N20" s="273"/>
      <c r="O20" s="274"/>
    </row>
    <row r="21" spans="1:19" ht="13.95" customHeight="1" x14ac:dyDescent="0.25">
      <c r="A21" s="166"/>
      <c r="B21" s="269"/>
      <c r="C21" s="372"/>
      <c r="D21" s="834" t="s">
        <v>1924</v>
      </c>
      <c r="E21" s="851">
        <f ca="1">NISTmap!$N$7</f>
        <v>0</v>
      </c>
      <c r="F21" s="372"/>
      <c r="G21" s="834" t="s">
        <v>1924</v>
      </c>
      <c r="H21" s="851">
        <f ca="1">NISTmap!$N$7</f>
        <v>0</v>
      </c>
      <c r="I21" s="842" t="s">
        <v>1447</v>
      </c>
      <c r="J21" s="842" t="s">
        <v>1447</v>
      </c>
      <c r="K21" s="842" t="s">
        <v>1447</v>
      </c>
      <c r="L21" s="842" t="s">
        <v>1447</v>
      </c>
      <c r="M21" s="260"/>
      <c r="N21" s="273"/>
      <c r="O21" s="274"/>
    </row>
    <row r="22" spans="1:19" ht="13.95" customHeight="1" x14ac:dyDescent="0.25">
      <c r="A22" s="166"/>
      <c r="B22" s="269"/>
      <c r="C22" s="372"/>
      <c r="D22" s="834" t="s">
        <v>59</v>
      </c>
      <c r="E22" s="852">
        <f ca="1">VLOOKUP($G22,Data!$K$2:$O$58,5,FALSE)</f>
        <v>0</v>
      </c>
      <c r="F22" s="372"/>
      <c r="G22" s="834" t="s">
        <v>59</v>
      </c>
      <c r="H22" s="852">
        <f ca="1">VLOOKUP($G22,Data!$K$2:$O$58,5,FALSE)</f>
        <v>0</v>
      </c>
      <c r="I22" s="841" t="s">
        <v>1447</v>
      </c>
      <c r="J22" s="841" t="s">
        <v>1447</v>
      </c>
      <c r="K22" s="841" t="s">
        <v>1447</v>
      </c>
      <c r="L22" s="841" t="s">
        <v>1447</v>
      </c>
      <c r="M22" s="260"/>
      <c r="N22" s="273"/>
      <c r="O22" s="274"/>
    </row>
    <row r="23" spans="1:19" ht="13.95" customHeight="1" x14ac:dyDescent="0.25">
      <c r="A23" s="166"/>
      <c r="B23" s="269"/>
      <c r="C23" s="372"/>
      <c r="D23" s="834" t="s">
        <v>61</v>
      </c>
      <c r="E23" s="852">
        <f ca="1">VLOOKUP($G23,Data!$K$2:$O$58,5,FALSE)</f>
        <v>0</v>
      </c>
      <c r="F23" s="372"/>
      <c r="G23" s="834" t="s">
        <v>61</v>
      </c>
      <c r="H23" s="852">
        <f ca="1">VLOOKUP($G23,Data!$K$2:$O$58,5,FALSE)</f>
        <v>0</v>
      </c>
      <c r="I23" s="841" t="s">
        <v>1447</v>
      </c>
      <c r="J23" s="841" t="s">
        <v>1447</v>
      </c>
      <c r="K23" s="841" t="s">
        <v>1447</v>
      </c>
      <c r="L23" s="841" t="s">
        <v>1447</v>
      </c>
      <c r="M23" s="260"/>
      <c r="N23" s="273"/>
      <c r="O23" s="274"/>
    </row>
    <row r="24" spans="1:19" ht="13.95" customHeight="1" x14ac:dyDescent="0.25">
      <c r="A24" s="166"/>
      <c r="B24" s="269"/>
      <c r="C24" s="372"/>
      <c r="D24" s="834" t="s">
        <v>63</v>
      </c>
      <c r="E24" s="852">
        <f ca="1">VLOOKUP($G24,Data!$K$2:$O$58,5,FALSE)</f>
        <v>0</v>
      </c>
      <c r="F24" s="372"/>
      <c r="G24" s="834" t="s">
        <v>63</v>
      </c>
      <c r="H24" s="852">
        <f ca="1">VLOOKUP($G24,Data!$K$2:$O$58,5,FALSE)</f>
        <v>0</v>
      </c>
      <c r="I24" s="841" t="s">
        <v>1447</v>
      </c>
      <c r="J24" s="841" t="s">
        <v>1447</v>
      </c>
      <c r="K24" s="841" t="s">
        <v>1447</v>
      </c>
      <c r="L24" s="841" t="s">
        <v>1447</v>
      </c>
      <c r="M24" s="260"/>
      <c r="N24" s="273"/>
      <c r="O24" s="274"/>
    </row>
    <row r="25" spans="1:19" ht="13.95" customHeight="1" x14ac:dyDescent="0.25">
      <c r="A25" s="166"/>
      <c r="B25" s="269"/>
      <c r="C25" s="372"/>
      <c r="D25" s="834" t="s">
        <v>66</v>
      </c>
      <c r="E25" s="852">
        <f ca="1">VLOOKUP($G25,Data!$K$2:$O$58,5,FALSE)</f>
        <v>0</v>
      </c>
      <c r="F25" s="372"/>
      <c r="G25" s="834" t="s">
        <v>66</v>
      </c>
      <c r="H25" s="852">
        <f ca="1">VLOOKUP($G25,Data!$K$2:$O$58,5,FALSE)</f>
        <v>0</v>
      </c>
      <c r="I25" s="841" t="s">
        <v>1447</v>
      </c>
      <c r="J25" s="841" t="s">
        <v>1447</v>
      </c>
      <c r="K25" s="841" t="s">
        <v>1447</v>
      </c>
      <c r="L25" s="841" t="s">
        <v>1447</v>
      </c>
      <c r="M25" s="260"/>
      <c r="N25" s="273"/>
      <c r="O25" s="274"/>
    </row>
    <row r="26" spans="1:19" ht="13.95" customHeight="1" x14ac:dyDescent="0.25">
      <c r="A26" s="166"/>
      <c r="B26" s="269"/>
      <c r="C26" s="372"/>
      <c r="D26" s="834" t="s">
        <v>1017</v>
      </c>
      <c r="E26" s="852">
        <f ca="1">VLOOKUP($G26,Data!$K$2:$O$58,5,FALSE)</f>
        <v>1</v>
      </c>
      <c r="F26" s="372"/>
      <c r="G26" s="834" t="s">
        <v>1017</v>
      </c>
      <c r="H26" s="852">
        <f ca="1">VLOOKUP($G26,Data!$K$2:$O$58,5,FALSE)</f>
        <v>1</v>
      </c>
      <c r="I26" s="841" t="s">
        <v>1447</v>
      </c>
      <c r="J26" s="841" t="s">
        <v>1447</v>
      </c>
      <c r="K26" s="841" t="s">
        <v>1447</v>
      </c>
      <c r="L26" s="841" t="s">
        <v>1447</v>
      </c>
      <c r="M26" s="260"/>
      <c r="N26" s="273"/>
      <c r="O26" s="274"/>
    </row>
    <row r="27" spans="1:19" ht="13.95" customHeight="1" x14ac:dyDescent="0.25">
      <c r="A27" s="166"/>
      <c r="B27" s="269"/>
      <c r="C27" s="372"/>
      <c r="D27" s="834" t="s">
        <v>77</v>
      </c>
      <c r="E27" s="852">
        <f ca="1">VLOOKUP($G27,Data!$K$2:$O$58,5,FALSE)</f>
        <v>0</v>
      </c>
      <c r="F27" s="372"/>
      <c r="G27" s="834" t="s">
        <v>77</v>
      </c>
      <c r="H27" s="852">
        <f ca="1">VLOOKUP($G27,Data!$K$2:$O$58,5,FALSE)</f>
        <v>0</v>
      </c>
      <c r="I27" s="841" t="s">
        <v>1447</v>
      </c>
      <c r="J27" s="841" t="s">
        <v>1447</v>
      </c>
      <c r="K27" s="841" t="s">
        <v>1447</v>
      </c>
      <c r="L27" s="841" t="s">
        <v>1447</v>
      </c>
      <c r="M27" s="260"/>
      <c r="N27" s="273"/>
      <c r="O27" s="274"/>
    </row>
    <row r="28" spans="1:19" ht="13.95" customHeight="1" x14ac:dyDescent="0.25">
      <c r="A28" s="166"/>
      <c r="B28" s="269"/>
      <c r="C28" s="372"/>
      <c r="D28" s="834" t="s">
        <v>115</v>
      </c>
      <c r="E28" s="852">
        <f ca="1">VLOOKUP($G28,Data!$K$2:$O$58,5,FALSE)</f>
        <v>0</v>
      </c>
      <c r="F28" s="372"/>
      <c r="G28" s="834" t="s">
        <v>115</v>
      </c>
      <c r="H28" s="852">
        <f ca="1">VLOOKUP($G28,Data!$K$2:$O$58,5,FALSE)</f>
        <v>0</v>
      </c>
      <c r="I28" s="841" t="s">
        <v>1447</v>
      </c>
      <c r="J28" s="841" t="s">
        <v>1447</v>
      </c>
      <c r="K28" s="841" t="s">
        <v>1447</v>
      </c>
      <c r="L28" s="841" t="s">
        <v>1447</v>
      </c>
      <c r="M28" s="260"/>
      <c r="N28" s="273"/>
      <c r="O28" s="274"/>
    </row>
    <row r="29" spans="1:19" ht="13.95" customHeight="1" x14ac:dyDescent="0.25">
      <c r="A29" s="166"/>
      <c r="B29" s="269"/>
      <c r="C29" s="372"/>
      <c r="D29" s="834" t="s">
        <v>118</v>
      </c>
      <c r="E29" s="852">
        <f ca="1">VLOOKUP($G29,Data!$K$2:$O$58,5,FALSE)</f>
        <v>0</v>
      </c>
      <c r="F29" s="372"/>
      <c r="G29" s="834" t="s">
        <v>118</v>
      </c>
      <c r="H29" s="852">
        <f ca="1">VLOOKUP($G29,Data!$K$2:$O$58,5,FALSE)</f>
        <v>0</v>
      </c>
      <c r="I29" s="841" t="s">
        <v>1447</v>
      </c>
      <c r="J29" s="841" t="s">
        <v>1447</v>
      </c>
      <c r="K29" s="841" t="s">
        <v>1447</v>
      </c>
      <c r="L29" s="841" t="s">
        <v>1447</v>
      </c>
      <c r="M29" s="260"/>
      <c r="N29" s="273"/>
      <c r="O29" s="274"/>
    </row>
    <row r="30" spans="1:19" ht="13.95" customHeight="1" x14ac:dyDescent="0.25">
      <c r="A30" s="166"/>
      <c r="B30" s="269"/>
      <c r="C30" s="372"/>
      <c r="D30" s="834" t="s">
        <v>121</v>
      </c>
      <c r="E30" s="852">
        <f ca="1">VLOOKUP($G30,Data!$K$2:$O$58,5,FALSE)</f>
        <v>0</v>
      </c>
      <c r="F30" s="372"/>
      <c r="G30" s="834" t="s">
        <v>121</v>
      </c>
      <c r="H30" s="852">
        <f ca="1">VLOOKUP($G30,Data!$K$2:$O$58,5,FALSE)</f>
        <v>0</v>
      </c>
      <c r="I30" s="841" t="s">
        <v>1447</v>
      </c>
      <c r="J30" s="841" t="s">
        <v>1447</v>
      </c>
      <c r="K30" s="841" t="s">
        <v>1447</v>
      </c>
      <c r="L30" s="841" t="s">
        <v>1447</v>
      </c>
      <c r="M30" s="260"/>
      <c r="N30" s="273"/>
      <c r="O30" s="274"/>
    </row>
    <row r="31" spans="1:19" ht="13.95" customHeight="1" x14ac:dyDescent="0.25">
      <c r="A31" s="166"/>
      <c r="B31" s="269"/>
      <c r="C31" s="372"/>
      <c r="D31" s="834" t="s">
        <v>124</v>
      </c>
      <c r="E31" s="852">
        <f ca="1">VLOOKUP($G31,Data!$K$2:$O$58,5,FALSE)</f>
        <v>1</v>
      </c>
      <c r="F31" s="372"/>
      <c r="G31" s="834" t="s">
        <v>124</v>
      </c>
      <c r="H31" s="852">
        <f ca="1">VLOOKUP($G31,Data!$K$2:$O$58,5,FALSE)</f>
        <v>1</v>
      </c>
      <c r="I31" s="841" t="s">
        <v>1447</v>
      </c>
      <c r="J31" s="841" t="s">
        <v>1447</v>
      </c>
      <c r="K31" s="841" t="s">
        <v>1447</v>
      </c>
      <c r="L31" s="841" t="s">
        <v>1447</v>
      </c>
      <c r="M31" s="260"/>
      <c r="N31" s="273"/>
      <c r="O31" s="274"/>
    </row>
    <row r="32" spans="1:19" ht="13.95" customHeight="1" x14ac:dyDescent="0.25">
      <c r="A32" s="166"/>
      <c r="B32" s="269"/>
      <c r="C32" s="372"/>
      <c r="D32" s="834" t="s">
        <v>127</v>
      </c>
      <c r="E32" s="852">
        <f ca="1">VLOOKUP($G32,Data!$K$2:$O$58,5,FALSE)</f>
        <v>0</v>
      </c>
      <c r="F32" s="372"/>
      <c r="G32" s="834" t="s">
        <v>127</v>
      </c>
      <c r="H32" s="852">
        <f ca="1">VLOOKUP($G32,Data!$K$2:$O$58,5,FALSE)</f>
        <v>0</v>
      </c>
      <c r="I32" s="841" t="s">
        <v>1447</v>
      </c>
      <c r="J32" s="841" t="s">
        <v>1447</v>
      </c>
      <c r="K32" s="841" t="s">
        <v>1447</v>
      </c>
      <c r="L32" s="841" t="s">
        <v>1447</v>
      </c>
      <c r="M32" s="260"/>
      <c r="N32" s="273"/>
      <c r="O32" s="274"/>
    </row>
    <row r="33" spans="1:15" ht="13.95" customHeight="1" x14ac:dyDescent="0.25">
      <c r="A33" s="166"/>
      <c r="B33" s="269"/>
      <c r="C33" s="372"/>
      <c r="D33" s="834" t="s">
        <v>1027</v>
      </c>
      <c r="E33" s="852">
        <f ca="1">VLOOKUP($G33,Data!$K$2:$O$58,5,FALSE)</f>
        <v>1</v>
      </c>
      <c r="F33" s="372"/>
      <c r="G33" s="834" t="s">
        <v>1027</v>
      </c>
      <c r="H33" s="852">
        <f ca="1">VLOOKUP($G33,Data!$K$2:$O$58,5,FALSE)</f>
        <v>1</v>
      </c>
      <c r="I33" s="841" t="s">
        <v>1447</v>
      </c>
      <c r="J33" s="841" t="s">
        <v>1447</v>
      </c>
      <c r="K33" s="841" t="s">
        <v>1447</v>
      </c>
      <c r="L33" s="841" t="s">
        <v>1447</v>
      </c>
      <c r="M33" s="260"/>
      <c r="N33" s="273"/>
      <c r="O33" s="274"/>
    </row>
    <row r="34" spans="1:15" ht="13.95" customHeight="1" x14ac:dyDescent="0.25">
      <c r="A34" s="166"/>
      <c r="B34" s="269"/>
      <c r="C34" s="372"/>
      <c r="D34" s="834" t="s">
        <v>48</v>
      </c>
      <c r="E34" s="852">
        <f ca="1">VLOOKUP($G34,Data!$K$2:$O$58,5,FALSE)</f>
        <v>0</v>
      </c>
      <c r="F34" s="372"/>
      <c r="G34" s="834" t="s">
        <v>48</v>
      </c>
      <c r="H34" s="852">
        <f ca="1">VLOOKUP($G34,Data!$K$2:$O$58,5,FALSE)</f>
        <v>0</v>
      </c>
      <c r="I34" s="841" t="s">
        <v>1447</v>
      </c>
      <c r="J34" s="841" t="s">
        <v>1447</v>
      </c>
      <c r="K34" s="841" t="s">
        <v>1447</v>
      </c>
      <c r="L34" s="841" t="s">
        <v>1447</v>
      </c>
      <c r="M34" s="260"/>
      <c r="N34" s="273"/>
      <c r="O34" s="274"/>
    </row>
    <row r="35" spans="1:15" ht="13.95" customHeight="1" x14ac:dyDescent="0.25">
      <c r="A35" s="166"/>
      <c r="B35" s="269"/>
      <c r="C35" s="372"/>
      <c r="D35" s="834" t="s">
        <v>50</v>
      </c>
      <c r="E35" s="852">
        <f ca="1">VLOOKUP($G35,Data!$K$2:$O$58,5,FALSE)</f>
        <v>0</v>
      </c>
      <c r="F35" s="372"/>
      <c r="G35" s="834" t="s">
        <v>50</v>
      </c>
      <c r="H35" s="852">
        <f ca="1">VLOOKUP($G35,Data!$K$2:$O$58,5,FALSE)</f>
        <v>0</v>
      </c>
      <c r="I35" s="841" t="s">
        <v>1447</v>
      </c>
      <c r="J35" s="841" t="s">
        <v>1447</v>
      </c>
      <c r="K35" s="841" t="s">
        <v>1447</v>
      </c>
      <c r="L35" s="841" t="s">
        <v>1447</v>
      </c>
      <c r="M35" s="260"/>
      <c r="N35" s="273"/>
      <c r="O35" s="274"/>
    </row>
    <row r="36" spans="1:15" ht="13.95" customHeight="1" x14ac:dyDescent="0.25">
      <c r="A36" s="166"/>
      <c r="B36" s="269"/>
      <c r="C36" s="372"/>
      <c r="D36" s="834" t="s">
        <v>52</v>
      </c>
      <c r="E36" s="852">
        <f ca="1">VLOOKUP($G36,Data!$K$2:$O$58,5,FALSE)</f>
        <v>0</v>
      </c>
      <c r="F36" s="372"/>
      <c r="G36" s="834" t="s">
        <v>52</v>
      </c>
      <c r="H36" s="852">
        <f ca="1">VLOOKUP($G36,Data!$K$2:$O$58,5,FALSE)</f>
        <v>0</v>
      </c>
      <c r="I36" s="841" t="s">
        <v>1447</v>
      </c>
      <c r="J36" s="841" t="s">
        <v>1447</v>
      </c>
      <c r="K36" s="841" t="s">
        <v>1447</v>
      </c>
      <c r="L36" s="841" t="s">
        <v>1447</v>
      </c>
      <c r="M36" s="260"/>
      <c r="N36" s="273"/>
      <c r="O36" s="274"/>
    </row>
    <row r="37" spans="1:15" ht="13.95" customHeight="1" x14ac:dyDescent="0.25">
      <c r="A37" s="166"/>
      <c r="B37" s="269"/>
      <c r="C37" s="372"/>
      <c r="D37" s="834" t="s">
        <v>54</v>
      </c>
      <c r="E37" s="852">
        <f ca="1">VLOOKUP($G37,Data!$K$2:$O$58,5,FALSE)</f>
        <v>0</v>
      </c>
      <c r="F37" s="372"/>
      <c r="G37" s="834" t="s">
        <v>54</v>
      </c>
      <c r="H37" s="852">
        <f ca="1">VLOOKUP($G37,Data!$K$2:$O$58,5,FALSE)</f>
        <v>0</v>
      </c>
      <c r="I37" s="841" t="s">
        <v>1447</v>
      </c>
      <c r="J37" s="841" t="s">
        <v>1447</v>
      </c>
      <c r="K37" s="841" t="s">
        <v>1447</v>
      </c>
      <c r="L37" s="841" t="s">
        <v>1447</v>
      </c>
      <c r="M37" s="260"/>
      <c r="N37" s="273"/>
      <c r="O37" s="274"/>
    </row>
    <row r="38" spans="1:15" ht="13.95" customHeight="1" x14ac:dyDescent="0.25">
      <c r="A38" s="166"/>
      <c r="B38" s="269"/>
      <c r="C38" s="372"/>
      <c r="D38" s="834" t="s">
        <v>55</v>
      </c>
      <c r="E38" s="852">
        <f ca="1">VLOOKUP($G38,Data!$K$2:$O$58,5,FALSE)</f>
        <v>0</v>
      </c>
      <c r="F38" s="372"/>
      <c r="G38" s="834" t="s">
        <v>55</v>
      </c>
      <c r="H38" s="852">
        <f ca="1">VLOOKUP($G38,Data!$K$2:$O$58,5,FALSE)</f>
        <v>0</v>
      </c>
      <c r="I38" s="841" t="s">
        <v>1447</v>
      </c>
      <c r="J38" s="841" t="s">
        <v>1447</v>
      </c>
      <c r="K38" s="841" t="s">
        <v>1447</v>
      </c>
      <c r="L38" s="841" t="s">
        <v>1447</v>
      </c>
      <c r="M38" s="260"/>
      <c r="N38" s="273"/>
      <c r="O38" s="274"/>
    </row>
    <row r="39" spans="1:15" ht="13.95" customHeight="1" x14ac:dyDescent="0.25">
      <c r="A39" s="166"/>
      <c r="B39" s="269"/>
      <c r="C39" s="372"/>
      <c r="D39" s="834" t="s">
        <v>57</v>
      </c>
      <c r="E39" s="852">
        <f ca="1">VLOOKUP($G39,Data!$K$2:$O$58,5,FALSE)</f>
        <v>1</v>
      </c>
      <c r="F39" s="372"/>
      <c r="G39" s="834" t="s">
        <v>57</v>
      </c>
      <c r="H39" s="852">
        <f ca="1">VLOOKUP($G39,Data!$K$2:$O$58,5,FALSE)</f>
        <v>1</v>
      </c>
      <c r="I39" s="841" t="s">
        <v>1447</v>
      </c>
      <c r="J39" s="841" t="s">
        <v>1447</v>
      </c>
      <c r="K39" s="841" t="s">
        <v>1447</v>
      </c>
      <c r="L39" s="841" t="s">
        <v>1447</v>
      </c>
      <c r="M39" s="260"/>
      <c r="N39" s="273"/>
      <c r="O39" s="274"/>
    </row>
    <row r="40" spans="1:15" ht="13.95" customHeight="1" x14ac:dyDescent="0.25">
      <c r="A40" s="166"/>
      <c r="B40" s="269"/>
      <c r="C40" s="372"/>
      <c r="D40" s="834" t="s">
        <v>56</v>
      </c>
      <c r="E40" s="852">
        <f ca="1">VLOOKUP($G40,Data!$K$2:$O$58,5,FALSE)</f>
        <v>0</v>
      </c>
      <c r="F40" s="372"/>
      <c r="G40" s="834" t="s">
        <v>56</v>
      </c>
      <c r="H40" s="852">
        <f ca="1">VLOOKUP($G40,Data!$K$2:$O$58,5,FALSE)</f>
        <v>0</v>
      </c>
      <c r="I40" s="841" t="s">
        <v>1447</v>
      </c>
      <c r="J40" s="841" t="s">
        <v>1447</v>
      </c>
      <c r="K40" s="841" t="s">
        <v>1447</v>
      </c>
      <c r="L40" s="841" t="s">
        <v>1447</v>
      </c>
      <c r="M40" s="260"/>
      <c r="N40" s="273"/>
      <c r="O40" s="274"/>
    </row>
    <row r="41" spans="1:15" ht="13.95" customHeight="1" x14ac:dyDescent="0.25">
      <c r="A41" s="166"/>
      <c r="B41" s="269"/>
      <c r="C41" s="372"/>
      <c r="D41" s="834" t="s">
        <v>147</v>
      </c>
      <c r="E41" s="852">
        <f ca="1">VLOOKUP($G41,Data!$K$2:$O$58,5,FALSE)</f>
        <v>0</v>
      </c>
      <c r="F41" s="372"/>
      <c r="G41" s="834" t="s">
        <v>147</v>
      </c>
      <c r="H41" s="852">
        <f ca="1">VLOOKUP($G41,Data!$K$2:$O$58,5,FALSE)</f>
        <v>0</v>
      </c>
      <c r="I41" s="841" t="s">
        <v>1447</v>
      </c>
      <c r="J41" s="841" t="s">
        <v>1447</v>
      </c>
      <c r="K41" s="841" t="s">
        <v>1447</v>
      </c>
      <c r="L41" s="841" t="s">
        <v>1447</v>
      </c>
      <c r="M41" s="260"/>
      <c r="N41" s="273"/>
      <c r="O41" s="274"/>
    </row>
    <row r="42" spans="1:15" ht="13.95" customHeight="1" x14ac:dyDescent="0.25">
      <c r="A42" s="166"/>
      <c r="B42" s="269"/>
      <c r="C42" s="372"/>
      <c r="D42" s="834" t="s">
        <v>149</v>
      </c>
      <c r="E42" s="852">
        <f ca="1">VLOOKUP($G42,Data!$K$2:$O$58,5,FALSE)</f>
        <v>0</v>
      </c>
      <c r="F42" s="372"/>
      <c r="G42" s="834" t="s">
        <v>149</v>
      </c>
      <c r="H42" s="852">
        <f ca="1">VLOOKUP($G42,Data!$K$2:$O$58,5,FALSE)</f>
        <v>0</v>
      </c>
      <c r="I42" s="841" t="s">
        <v>1447</v>
      </c>
      <c r="J42" s="841" t="s">
        <v>1447</v>
      </c>
      <c r="K42" s="841" t="s">
        <v>1447</v>
      </c>
      <c r="L42" s="841" t="s">
        <v>1447</v>
      </c>
      <c r="M42" s="260"/>
      <c r="N42" s="273"/>
      <c r="O42" s="274"/>
    </row>
    <row r="43" spans="1:15" ht="13.95" customHeight="1" x14ac:dyDescent="0.25">
      <c r="A43" s="166"/>
      <c r="B43" s="269"/>
      <c r="C43" s="372"/>
      <c r="D43" s="834" t="s">
        <v>151</v>
      </c>
      <c r="E43" s="852">
        <f ca="1">VLOOKUP($G43,Data!$K$2:$O$58,5,FALSE)</f>
        <v>0</v>
      </c>
      <c r="F43" s="372"/>
      <c r="G43" s="834" t="s">
        <v>151</v>
      </c>
      <c r="H43" s="852">
        <f ca="1">VLOOKUP($G43,Data!$K$2:$O$58,5,FALSE)</f>
        <v>0</v>
      </c>
      <c r="I43" s="841" t="s">
        <v>1447</v>
      </c>
      <c r="J43" s="841" t="s">
        <v>1447</v>
      </c>
      <c r="K43" s="841" t="s">
        <v>1447</v>
      </c>
      <c r="L43" s="841" t="s">
        <v>1447</v>
      </c>
      <c r="M43" s="260"/>
      <c r="N43" s="273"/>
      <c r="O43" s="274"/>
    </row>
    <row r="44" spans="1:15" ht="13.95" customHeight="1" x14ac:dyDescent="0.25">
      <c r="A44" s="166"/>
      <c r="B44" s="269"/>
      <c r="C44" s="372"/>
      <c r="D44" s="834" t="s">
        <v>79</v>
      </c>
      <c r="E44" s="852">
        <f ca="1">VLOOKUP($G44,Data!$K$2:$O$58,5,FALSE)</f>
        <v>0</v>
      </c>
      <c r="F44" s="372"/>
      <c r="G44" s="834" t="s">
        <v>79</v>
      </c>
      <c r="H44" s="852">
        <f ca="1">VLOOKUP($G44,Data!$K$2:$O$58,5,FALSE)</f>
        <v>0</v>
      </c>
      <c r="I44" s="841" t="s">
        <v>1447</v>
      </c>
      <c r="J44" s="841" t="s">
        <v>1447</v>
      </c>
      <c r="K44" s="841" t="s">
        <v>1447</v>
      </c>
      <c r="L44" s="841" t="s">
        <v>1447</v>
      </c>
      <c r="M44" s="260"/>
      <c r="N44" s="273"/>
      <c r="O44" s="274"/>
    </row>
    <row r="45" spans="1:15" ht="13.95" customHeight="1" x14ac:dyDescent="0.25">
      <c r="A45" s="166"/>
      <c r="B45" s="269"/>
      <c r="C45" s="372"/>
      <c r="D45" s="834" t="s">
        <v>132</v>
      </c>
      <c r="E45" s="852">
        <f ca="1">VLOOKUP($G45,Data!$K$2:$O$58,5,FALSE)</f>
        <v>0</v>
      </c>
      <c r="F45" s="372"/>
      <c r="G45" s="834" t="s">
        <v>132</v>
      </c>
      <c r="H45" s="852">
        <f ca="1">VLOOKUP($G45,Data!$K$2:$O$58,5,FALSE)</f>
        <v>0</v>
      </c>
      <c r="I45" s="841" t="s">
        <v>1447</v>
      </c>
      <c r="J45" s="841" t="s">
        <v>1447</v>
      </c>
      <c r="K45" s="841" t="s">
        <v>1447</v>
      </c>
      <c r="L45" s="841" t="s">
        <v>1447</v>
      </c>
      <c r="M45" s="260"/>
      <c r="N45" s="273"/>
      <c r="O45" s="274"/>
    </row>
    <row r="46" spans="1:15" ht="13.95" customHeight="1" x14ac:dyDescent="0.25">
      <c r="A46" s="166"/>
      <c r="B46" s="269"/>
      <c r="C46" s="372"/>
      <c r="D46" s="834" t="s">
        <v>135</v>
      </c>
      <c r="E46" s="852">
        <f ca="1">VLOOKUP($G46,Data!$K$2:$O$58,5,FALSE)</f>
        <v>0</v>
      </c>
      <c r="F46" s="372"/>
      <c r="G46" s="834" t="s">
        <v>135</v>
      </c>
      <c r="H46" s="852">
        <f ca="1">VLOOKUP($G46,Data!$K$2:$O$58,5,FALSE)</f>
        <v>0</v>
      </c>
      <c r="I46" s="841" t="s">
        <v>1447</v>
      </c>
      <c r="J46" s="841" t="s">
        <v>1447</v>
      </c>
      <c r="K46" s="841" t="s">
        <v>1447</v>
      </c>
      <c r="L46" s="841" t="s">
        <v>1447</v>
      </c>
      <c r="M46" s="260"/>
      <c r="N46" s="273"/>
      <c r="O46" s="274"/>
    </row>
    <row r="47" spans="1:15" ht="13.95" customHeight="1" x14ac:dyDescent="0.25">
      <c r="A47" s="166"/>
      <c r="B47" s="269"/>
      <c r="C47" s="372"/>
      <c r="D47" s="834" t="s">
        <v>138</v>
      </c>
      <c r="E47" s="852">
        <f ca="1">VLOOKUP($G47,Data!$K$2:$O$58,5,FALSE)</f>
        <v>1</v>
      </c>
      <c r="F47" s="372"/>
      <c r="G47" s="834" t="s">
        <v>138</v>
      </c>
      <c r="H47" s="852">
        <f ca="1">VLOOKUP($G47,Data!$K$2:$O$58,5,FALSE)</f>
        <v>1</v>
      </c>
      <c r="I47" s="841" t="s">
        <v>1447</v>
      </c>
      <c r="J47" s="841" t="s">
        <v>1447</v>
      </c>
      <c r="K47" s="841" t="s">
        <v>1447</v>
      </c>
      <c r="L47" s="841" t="s">
        <v>1447</v>
      </c>
      <c r="M47" s="260"/>
      <c r="N47" s="273"/>
      <c r="O47" s="274"/>
    </row>
    <row r="48" spans="1:15" ht="13.95" customHeight="1" x14ac:dyDescent="0.25">
      <c r="A48" s="166"/>
      <c r="B48" s="269"/>
      <c r="C48" s="372"/>
      <c r="D48" s="834" t="s">
        <v>69</v>
      </c>
      <c r="E48" s="852">
        <f ca="1">VLOOKUP($G48,Data!$K$2:$O$58,5,FALSE)</f>
        <v>0</v>
      </c>
      <c r="F48" s="372"/>
      <c r="G48" s="834" t="s">
        <v>69</v>
      </c>
      <c r="H48" s="852">
        <f ca="1">VLOOKUP($G48,Data!$K$2:$O$58,5,FALSE)</f>
        <v>0</v>
      </c>
      <c r="I48" s="841" t="s">
        <v>1447</v>
      </c>
      <c r="J48" s="841" t="s">
        <v>1447</v>
      </c>
      <c r="K48" s="841" t="s">
        <v>1447</v>
      </c>
      <c r="L48" s="841" t="s">
        <v>1447</v>
      </c>
      <c r="M48" s="260"/>
      <c r="N48" s="273"/>
      <c r="O48" s="274"/>
    </row>
    <row r="49" spans="1:15" ht="13.95" customHeight="1" x14ac:dyDescent="0.25">
      <c r="A49" s="166"/>
      <c r="B49" s="269"/>
      <c r="C49" s="372"/>
      <c r="D49" s="834" t="s">
        <v>90</v>
      </c>
      <c r="E49" s="852">
        <f ca="1">VLOOKUP($G49,Data!$K$2:$O$58,5,FALSE)</f>
        <v>0</v>
      </c>
      <c r="F49" s="372"/>
      <c r="G49" s="834" t="s">
        <v>90</v>
      </c>
      <c r="H49" s="852">
        <f ca="1">VLOOKUP($G49,Data!$K$2:$O$58,5,FALSE)</f>
        <v>0</v>
      </c>
      <c r="I49" s="841" t="s">
        <v>1447</v>
      </c>
      <c r="J49" s="841" t="s">
        <v>1447</v>
      </c>
      <c r="K49" s="841" t="s">
        <v>1447</v>
      </c>
      <c r="L49" s="841" t="s">
        <v>1447</v>
      </c>
      <c r="M49" s="260"/>
      <c r="N49" s="273"/>
      <c r="O49" s="274"/>
    </row>
    <row r="50" spans="1:15" ht="13.95" customHeight="1" x14ac:dyDescent="0.25">
      <c r="A50" s="166"/>
      <c r="B50" s="269"/>
      <c r="C50" s="372"/>
      <c r="D50" s="834" t="s">
        <v>92</v>
      </c>
      <c r="E50" s="852">
        <f ca="1">VLOOKUP($G50,Data!$K$2:$O$58,5,FALSE)</f>
        <v>0</v>
      </c>
      <c r="F50" s="372"/>
      <c r="G50" s="834" t="s">
        <v>92</v>
      </c>
      <c r="H50" s="852">
        <f ca="1">VLOOKUP($G50,Data!$K$2:$O$58,5,FALSE)</f>
        <v>0</v>
      </c>
      <c r="I50" s="841" t="s">
        <v>1447</v>
      </c>
      <c r="J50" s="841" t="s">
        <v>1447</v>
      </c>
      <c r="K50" s="841" t="s">
        <v>1447</v>
      </c>
      <c r="L50" s="841" t="s">
        <v>1447</v>
      </c>
      <c r="M50" s="260"/>
      <c r="N50" s="273"/>
      <c r="O50" s="274"/>
    </row>
    <row r="51" spans="1:15" ht="13.95" customHeight="1" x14ac:dyDescent="0.25">
      <c r="A51" s="166"/>
      <c r="B51" s="269"/>
      <c r="C51" s="372"/>
      <c r="D51" s="834" t="s">
        <v>94</v>
      </c>
      <c r="E51" s="852">
        <f ca="1">VLOOKUP($G51,Data!$K$2:$O$58,5,FALSE)</f>
        <v>0</v>
      </c>
      <c r="F51" s="372"/>
      <c r="G51" s="834" t="s">
        <v>94</v>
      </c>
      <c r="H51" s="852">
        <f ca="1">VLOOKUP($G51,Data!$K$2:$O$58,5,FALSE)</f>
        <v>0</v>
      </c>
      <c r="I51" s="841" t="s">
        <v>1447</v>
      </c>
      <c r="J51" s="841" t="s">
        <v>1447</v>
      </c>
      <c r="K51" s="841" t="s">
        <v>1447</v>
      </c>
      <c r="L51" s="841" t="s">
        <v>1447</v>
      </c>
      <c r="M51" s="260"/>
      <c r="N51" s="273"/>
      <c r="O51" s="274"/>
    </row>
    <row r="52" spans="1:15" ht="13.95" customHeight="1" x14ac:dyDescent="0.25">
      <c r="A52" s="166"/>
      <c r="B52" s="269"/>
      <c r="C52" s="372"/>
      <c r="D52" s="834" t="s">
        <v>96</v>
      </c>
      <c r="E52" s="852">
        <f ca="1">VLOOKUP($G52,Data!$K$2:$O$58,5,FALSE)</f>
        <v>0</v>
      </c>
      <c r="F52" s="372"/>
      <c r="G52" s="834" t="s">
        <v>96</v>
      </c>
      <c r="H52" s="852">
        <f ca="1">VLOOKUP($G52,Data!$K$2:$O$58,5,FALSE)</f>
        <v>0</v>
      </c>
      <c r="I52" s="841" t="s">
        <v>1447</v>
      </c>
      <c r="J52" s="841" t="s">
        <v>1447</v>
      </c>
      <c r="K52" s="841" t="s">
        <v>1447</v>
      </c>
      <c r="L52" s="841" t="s">
        <v>1447</v>
      </c>
      <c r="M52" s="260"/>
      <c r="N52" s="273"/>
      <c r="O52" s="274"/>
    </row>
    <row r="53" spans="1:15" ht="13.95" customHeight="1" x14ac:dyDescent="0.25">
      <c r="A53" s="166"/>
      <c r="B53" s="269"/>
      <c r="C53" s="372"/>
      <c r="D53" s="834" t="s">
        <v>1025</v>
      </c>
      <c r="E53" s="852">
        <f ca="1">VLOOKUP($G53,Data!$K$2:$O$58,5,FALSE)</f>
        <v>1</v>
      </c>
      <c r="F53" s="372"/>
      <c r="G53" s="834" t="s">
        <v>1025</v>
      </c>
      <c r="H53" s="852">
        <f ca="1">VLOOKUP($G53,Data!$K$2:$O$58,5,FALSE)</f>
        <v>1</v>
      </c>
      <c r="I53" s="841" t="s">
        <v>1447</v>
      </c>
      <c r="J53" s="841" t="s">
        <v>1447</v>
      </c>
      <c r="K53" s="841" t="s">
        <v>1447</v>
      </c>
      <c r="L53" s="841" t="s">
        <v>1447</v>
      </c>
      <c r="M53" s="260"/>
      <c r="N53" s="273"/>
      <c r="O53" s="274"/>
    </row>
    <row r="54" spans="1:15" ht="13.95" customHeight="1" x14ac:dyDescent="0.25">
      <c r="A54" s="166"/>
      <c r="B54" s="269"/>
      <c r="C54" s="372"/>
      <c r="D54" s="834" t="s">
        <v>0</v>
      </c>
      <c r="E54" s="852">
        <f ca="1">VLOOKUP($G54,Data!$K$2:$O$58,5,FALSE)</f>
        <v>0</v>
      </c>
      <c r="F54" s="372"/>
      <c r="G54" s="834" t="s">
        <v>0</v>
      </c>
      <c r="H54" s="852">
        <f ca="1">VLOOKUP($G54,Data!$K$2:$O$58,5,FALSE)</f>
        <v>0</v>
      </c>
      <c r="I54" s="841" t="s">
        <v>1447</v>
      </c>
      <c r="J54" s="841" t="s">
        <v>1447</v>
      </c>
      <c r="K54" s="841" t="s">
        <v>1447</v>
      </c>
      <c r="L54" s="841" t="s">
        <v>1447</v>
      </c>
      <c r="M54" s="260"/>
      <c r="N54" s="273"/>
      <c r="O54" s="274"/>
    </row>
    <row r="55" spans="1:15" ht="13.95" customHeight="1" x14ac:dyDescent="0.25">
      <c r="A55" s="166"/>
      <c r="B55" s="269"/>
      <c r="C55" s="372"/>
      <c r="D55" s="834" t="s">
        <v>40</v>
      </c>
      <c r="E55" s="852">
        <f ca="1">VLOOKUP($G55,Data!$K$2:$O$58,5,FALSE)</f>
        <v>0</v>
      </c>
      <c r="F55" s="372"/>
      <c r="G55" s="834" t="s">
        <v>40</v>
      </c>
      <c r="H55" s="852">
        <f ca="1">VLOOKUP($G55,Data!$K$2:$O$58,5,FALSE)</f>
        <v>0</v>
      </c>
      <c r="I55" s="841" t="s">
        <v>1447</v>
      </c>
      <c r="J55" s="841" t="s">
        <v>1447</v>
      </c>
      <c r="K55" s="841" t="s">
        <v>1447</v>
      </c>
      <c r="L55" s="841" t="s">
        <v>1447</v>
      </c>
      <c r="M55" s="260"/>
      <c r="N55" s="273"/>
      <c r="O55" s="274"/>
    </row>
    <row r="56" spans="1:15" ht="13.95" customHeight="1" x14ac:dyDescent="0.25">
      <c r="A56" s="166"/>
      <c r="B56" s="269"/>
      <c r="C56" s="372"/>
      <c r="D56" s="834" t="s">
        <v>44</v>
      </c>
      <c r="E56" s="852">
        <f ca="1">VLOOKUP($G56,Data!$K$2:$O$58,5,FALSE)</f>
        <v>0</v>
      </c>
      <c r="F56" s="372"/>
      <c r="G56" s="834" t="s">
        <v>44</v>
      </c>
      <c r="H56" s="852">
        <f ca="1">VLOOKUP($G56,Data!$K$2:$O$58,5,FALSE)</f>
        <v>0</v>
      </c>
      <c r="I56" s="841" t="s">
        <v>1447</v>
      </c>
      <c r="J56" s="841" t="s">
        <v>1447</v>
      </c>
      <c r="K56" s="841" t="s">
        <v>1447</v>
      </c>
      <c r="L56" s="841" t="s">
        <v>1447</v>
      </c>
      <c r="M56" s="260"/>
      <c r="N56" s="273"/>
      <c r="O56" s="274"/>
    </row>
    <row r="57" spans="1:15" ht="13.95" customHeight="1" x14ac:dyDescent="0.25">
      <c r="A57" s="166"/>
      <c r="B57" s="269"/>
      <c r="C57" s="372"/>
      <c r="D57" s="834" t="s">
        <v>46</v>
      </c>
      <c r="E57" s="852">
        <f ca="1">VLOOKUP($G57,Data!$K$2:$O$58,5,FALSE)</f>
        <v>0</v>
      </c>
      <c r="F57" s="372"/>
      <c r="G57" s="834" t="s">
        <v>46</v>
      </c>
      <c r="H57" s="852">
        <f ca="1">VLOOKUP($G57,Data!$K$2:$O$58,5,FALSE)</f>
        <v>0</v>
      </c>
      <c r="I57" s="841" t="s">
        <v>1447</v>
      </c>
      <c r="J57" s="841" t="s">
        <v>1447</v>
      </c>
      <c r="K57" s="841" t="s">
        <v>1447</v>
      </c>
      <c r="L57" s="841" t="s">
        <v>1447</v>
      </c>
      <c r="M57" s="260"/>
      <c r="N57" s="273"/>
      <c r="O57" s="274"/>
    </row>
    <row r="58" spans="1:15" ht="13.95" customHeight="1" x14ac:dyDescent="0.25">
      <c r="A58" s="166"/>
      <c r="B58" s="269"/>
      <c r="C58" s="372"/>
      <c r="D58" s="834" t="s">
        <v>1015</v>
      </c>
      <c r="E58" s="852">
        <f ca="1">VLOOKUP($G58,Data!$K$2:$O$58,5,FALSE)</f>
        <v>0</v>
      </c>
      <c r="F58" s="372"/>
      <c r="G58" s="834" t="s">
        <v>1015</v>
      </c>
      <c r="H58" s="852">
        <f ca="1">VLOOKUP($G58,Data!$K$2:$O$58,5,FALSE)</f>
        <v>0</v>
      </c>
      <c r="I58" s="841" t="s">
        <v>1447</v>
      </c>
      <c r="J58" s="841" t="s">
        <v>1447</v>
      </c>
      <c r="K58" s="841" t="s">
        <v>1447</v>
      </c>
      <c r="L58" s="841" t="s">
        <v>1447</v>
      </c>
      <c r="M58" s="260"/>
      <c r="N58" s="273"/>
      <c r="O58" s="274"/>
    </row>
    <row r="59" spans="1:15" ht="13.95" customHeight="1" x14ac:dyDescent="0.25">
      <c r="A59" s="166"/>
      <c r="B59" s="269"/>
      <c r="C59" s="372"/>
      <c r="D59" s="834" t="s">
        <v>1016</v>
      </c>
      <c r="E59" s="852">
        <f ca="1">VLOOKUP($G59,Data!$K$2:$O$58,5,FALSE)</f>
        <v>1</v>
      </c>
      <c r="F59" s="372"/>
      <c r="G59" s="834" t="s">
        <v>1016</v>
      </c>
      <c r="H59" s="852">
        <f ca="1">VLOOKUP($G59,Data!$K$2:$O$58,5,FALSE)</f>
        <v>1</v>
      </c>
      <c r="I59" s="841" t="s">
        <v>1447</v>
      </c>
      <c r="J59" s="841" t="s">
        <v>1447</v>
      </c>
      <c r="K59" s="841" t="s">
        <v>1447</v>
      </c>
      <c r="L59" s="841" t="s">
        <v>1447</v>
      </c>
      <c r="M59" s="260"/>
      <c r="N59" s="273"/>
      <c r="O59" s="274"/>
    </row>
    <row r="60" spans="1:15" ht="13.95" customHeight="1" x14ac:dyDescent="0.25">
      <c r="A60" s="166"/>
      <c r="B60" s="269"/>
      <c r="C60" s="372"/>
      <c r="D60" s="834" t="s">
        <v>67</v>
      </c>
      <c r="E60" s="852">
        <f ca="1">VLOOKUP($G60,Data!$K$2:$O$58,5,FALSE)</f>
        <v>0</v>
      </c>
      <c r="F60" s="372"/>
      <c r="G60" s="834" t="s">
        <v>67</v>
      </c>
      <c r="H60" s="852">
        <f ca="1">VLOOKUP($G60,Data!$K$2:$O$58,5,FALSE)</f>
        <v>0</v>
      </c>
      <c r="I60" s="841" t="s">
        <v>1447</v>
      </c>
      <c r="J60" s="841" t="s">
        <v>1447</v>
      </c>
      <c r="K60" s="841" t="s">
        <v>1447</v>
      </c>
      <c r="L60" s="841" t="s">
        <v>1447</v>
      </c>
      <c r="M60" s="260"/>
      <c r="N60" s="273"/>
      <c r="O60" s="274"/>
    </row>
    <row r="61" spans="1:15" ht="13.95" customHeight="1" x14ac:dyDescent="0.25">
      <c r="A61" s="166"/>
      <c r="B61" s="269"/>
      <c r="C61" s="372"/>
      <c r="D61" s="834" t="s">
        <v>81</v>
      </c>
      <c r="E61" s="852">
        <f ca="1">VLOOKUP($G61,Data!$K$2:$O$58,5,FALSE)</f>
        <v>0</v>
      </c>
      <c r="F61" s="372"/>
      <c r="G61" s="834" t="s">
        <v>81</v>
      </c>
      <c r="H61" s="852">
        <f ca="1">VLOOKUP($G61,Data!$K$2:$O$58,5,FALSE)</f>
        <v>0</v>
      </c>
      <c r="I61" s="841" t="s">
        <v>1447</v>
      </c>
      <c r="J61" s="841" t="s">
        <v>1447</v>
      </c>
      <c r="K61" s="841" t="s">
        <v>1447</v>
      </c>
      <c r="L61" s="841" t="s">
        <v>1447</v>
      </c>
      <c r="M61" s="260"/>
      <c r="N61" s="273"/>
      <c r="O61" s="274"/>
    </row>
    <row r="62" spans="1:15" ht="13.95" customHeight="1" x14ac:dyDescent="0.25">
      <c r="A62" s="166"/>
      <c r="B62" s="269"/>
      <c r="C62" s="372"/>
      <c r="D62" s="834" t="s">
        <v>83</v>
      </c>
      <c r="E62" s="852">
        <f ca="1">VLOOKUP($G62,Data!$K$2:$O$58,5,FALSE)</f>
        <v>0</v>
      </c>
      <c r="F62" s="372"/>
      <c r="G62" s="834" t="s">
        <v>83</v>
      </c>
      <c r="H62" s="852">
        <f ca="1">VLOOKUP($G62,Data!$K$2:$O$58,5,FALSE)</f>
        <v>0</v>
      </c>
      <c r="I62" s="841" t="s">
        <v>1447</v>
      </c>
      <c r="J62" s="841" t="s">
        <v>1447</v>
      </c>
      <c r="K62" s="841" t="s">
        <v>1447</v>
      </c>
      <c r="L62" s="841" t="s">
        <v>1447</v>
      </c>
      <c r="M62" s="260"/>
      <c r="N62" s="273"/>
      <c r="O62" s="274"/>
    </row>
    <row r="63" spans="1:15" ht="13.95" customHeight="1" x14ac:dyDescent="0.25">
      <c r="A63" s="166"/>
      <c r="B63" s="269"/>
      <c r="C63" s="372"/>
      <c r="D63" s="834" t="s">
        <v>85</v>
      </c>
      <c r="E63" s="852">
        <f ca="1">VLOOKUP($G63,Data!$K$2:$O$58,5,FALSE)</f>
        <v>1</v>
      </c>
      <c r="F63" s="372"/>
      <c r="G63" s="834" t="s">
        <v>85</v>
      </c>
      <c r="H63" s="852">
        <f ca="1">VLOOKUP($G63,Data!$K$2:$O$58,5,FALSE)</f>
        <v>1</v>
      </c>
      <c r="I63" s="841" t="s">
        <v>1447</v>
      </c>
      <c r="J63" s="841" t="s">
        <v>1447</v>
      </c>
      <c r="K63" s="841" t="s">
        <v>1447</v>
      </c>
      <c r="L63" s="841" t="s">
        <v>1447</v>
      </c>
      <c r="M63" s="260"/>
      <c r="N63" s="273"/>
      <c r="O63" s="274"/>
    </row>
    <row r="64" spans="1:15" ht="13.95" customHeight="1" x14ac:dyDescent="0.25">
      <c r="A64" s="166"/>
      <c r="B64" s="269"/>
      <c r="C64" s="372"/>
      <c r="D64" s="834" t="s">
        <v>87</v>
      </c>
      <c r="E64" s="852">
        <f ca="1">VLOOKUP($G64,Data!$K$2:$O$58,5,FALSE)</f>
        <v>1</v>
      </c>
      <c r="F64" s="372"/>
      <c r="G64" s="834" t="s">
        <v>87</v>
      </c>
      <c r="H64" s="852">
        <f ca="1">VLOOKUP($G64,Data!$K$2:$O$58,5,FALSE)</f>
        <v>1</v>
      </c>
      <c r="I64" s="841" t="s">
        <v>1447</v>
      </c>
      <c r="J64" s="841" t="s">
        <v>1447</v>
      </c>
      <c r="K64" s="841" t="s">
        <v>1447</v>
      </c>
      <c r="L64" s="841" t="s">
        <v>1447</v>
      </c>
      <c r="M64" s="260"/>
      <c r="N64" s="273"/>
      <c r="O64" s="274"/>
    </row>
    <row r="65" spans="1:15" ht="13.95" customHeight="1" x14ac:dyDescent="0.25">
      <c r="A65" s="166"/>
      <c r="B65" s="269"/>
      <c r="C65" s="372"/>
      <c r="D65" s="834" t="s">
        <v>2619</v>
      </c>
      <c r="E65" s="852">
        <f ca="1">VLOOKUP($G65,Data!$K$2:$O$58,5,FALSE)</f>
        <v>0</v>
      </c>
      <c r="F65" s="372"/>
      <c r="G65" s="834" t="s">
        <v>2619</v>
      </c>
      <c r="H65" s="852">
        <f ca="1">VLOOKUP($G65,Data!$K$2:$O$58,5,FALSE)</f>
        <v>0</v>
      </c>
      <c r="I65" s="841" t="s">
        <v>1447</v>
      </c>
      <c r="J65" s="841" t="s">
        <v>1447</v>
      </c>
      <c r="K65" s="841" t="s">
        <v>1447</v>
      </c>
      <c r="L65" s="841" t="s">
        <v>1447</v>
      </c>
      <c r="M65" s="260"/>
      <c r="N65" s="273"/>
      <c r="O65" s="274"/>
    </row>
    <row r="66" spans="1:15" ht="13.95" customHeight="1" x14ac:dyDescent="0.25">
      <c r="A66" s="166"/>
      <c r="B66" s="269"/>
      <c r="C66" s="372"/>
      <c r="D66" s="834" t="s">
        <v>2621</v>
      </c>
      <c r="E66" s="852">
        <f ca="1">VLOOKUP($G66,Data!$K$2:$O$58,5,FALSE)</f>
        <v>0</v>
      </c>
      <c r="F66" s="372"/>
      <c r="G66" s="834" t="s">
        <v>2621</v>
      </c>
      <c r="H66" s="852">
        <f ca="1">VLOOKUP($G66,Data!$K$2:$O$58,5,FALSE)</f>
        <v>0</v>
      </c>
      <c r="I66" s="841" t="s">
        <v>1447</v>
      </c>
      <c r="J66" s="841" t="s">
        <v>1447</v>
      </c>
      <c r="K66" s="841" t="s">
        <v>1447</v>
      </c>
      <c r="L66" s="841" t="s">
        <v>1447</v>
      </c>
      <c r="M66" s="260"/>
      <c r="N66" s="273"/>
      <c r="O66" s="274"/>
    </row>
    <row r="67" spans="1:15" ht="13.95" customHeight="1" x14ac:dyDescent="0.25">
      <c r="A67" s="166"/>
      <c r="B67" s="269"/>
      <c r="C67" s="372"/>
      <c r="D67" s="834" t="s">
        <v>2629</v>
      </c>
      <c r="E67" s="852">
        <f ca="1">VLOOKUP($G67,Data!$K$2:$O$58,5,FALSE)</f>
        <v>0</v>
      </c>
      <c r="F67" s="372"/>
      <c r="G67" s="834" t="s">
        <v>2629</v>
      </c>
      <c r="H67" s="852">
        <f ca="1">VLOOKUP($G67,Data!$K$2:$O$58,5,FALSE)</f>
        <v>0</v>
      </c>
      <c r="I67" s="841" t="s">
        <v>1447</v>
      </c>
      <c r="J67" s="841" t="s">
        <v>1447</v>
      </c>
      <c r="K67" s="841" t="s">
        <v>1447</v>
      </c>
      <c r="L67" s="841" t="s">
        <v>1447</v>
      </c>
      <c r="M67" s="260"/>
      <c r="N67" s="273"/>
      <c r="O67" s="274"/>
    </row>
    <row r="68" spans="1:15" ht="13.95" customHeight="1" x14ac:dyDescent="0.25">
      <c r="A68" s="166"/>
      <c r="B68" s="269"/>
      <c r="C68" s="372"/>
      <c r="D68" s="834" t="s">
        <v>2644</v>
      </c>
      <c r="E68" s="852">
        <f ca="1">VLOOKUP($G68,Data!$K$2:$O$58,5,FALSE)</f>
        <v>1</v>
      </c>
      <c r="F68" s="372"/>
      <c r="G68" s="834" t="s">
        <v>2644</v>
      </c>
      <c r="H68" s="852">
        <f ca="1">VLOOKUP($G68,Data!$K$2:$O$58,5,FALSE)</f>
        <v>1</v>
      </c>
      <c r="I68" s="841" t="s">
        <v>1447</v>
      </c>
      <c r="J68" s="841" t="s">
        <v>1447</v>
      </c>
      <c r="K68" s="841" t="s">
        <v>1447</v>
      </c>
      <c r="L68" s="841" t="s">
        <v>1447</v>
      </c>
      <c r="M68" s="260"/>
      <c r="N68" s="273"/>
      <c r="O68" s="274"/>
    </row>
    <row r="69" spans="1:15" ht="13.95" customHeight="1" x14ac:dyDescent="0.25">
      <c r="A69" s="166"/>
      <c r="B69" s="269"/>
      <c r="C69" s="372"/>
      <c r="D69" s="834" t="s">
        <v>64</v>
      </c>
      <c r="E69" s="852">
        <f ca="1">VLOOKUP($G69,Data!$K$2:$O$58,5,FALSE)</f>
        <v>0</v>
      </c>
      <c r="F69" s="372"/>
      <c r="G69" s="834" t="s">
        <v>64</v>
      </c>
      <c r="H69" s="852">
        <f ca="1">VLOOKUP($G69,Data!$K$2:$O$58,5,FALSE)</f>
        <v>0</v>
      </c>
      <c r="I69" s="841" t="s">
        <v>1447</v>
      </c>
      <c r="J69" s="841" t="s">
        <v>1447</v>
      </c>
      <c r="K69" s="841" t="s">
        <v>1447</v>
      </c>
      <c r="L69" s="841" t="s">
        <v>1447</v>
      </c>
      <c r="M69" s="260"/>
      <c r="N69" s="273"/>
      <c r="O69" s="274"/>
    </row>
    <row r="70" spans="1:15" ht="13.95" customHeight="1" x14ac:dyDescent="0.25">
      <c r="A70" s="166"/>
      <c r="B70" s="269"/>
      <c r="C70" s="372"/>
      <c r="D70" s="834" t="s">
        <v>71</v>
      </c>
      <c r="E70" s="852">
        <f ca="1">VLOOKUP($G70,Data!$K$2:$O$58,5,FALSE)</f>
        <v>0</v>
      </c>
      <c r="F70" s="372"/>
      <c r="G70" s="834" t="s">
        <v>71</v>
      </c>
      <c r="H70" s="852">
        <f ca="1">VLOOKUP($G70,Data!$K$2:$O$58,5,FALSE)</f>
        <v>0</v>
      </c>
      <c r="I70" s="841" t="s">
        <v>1447</v>
      </c>
      <c r="J70" s="841" t="s">
        <v>1447</v>
      </c>
      <c r="K70" s="841" t="s">
        <v>1447</v>
      </c>
      <c r="L70" s="841" t="s">
        <v>1447</v>
      </c>
      <c r="M70" s="260"/>
      <c r="N70" s="273"/>
      <c r="O70" s="274"/>
    </row>
    <row r="71" spans="1:15" ht="13.95" customHeight="1" x14ac:dyDescent="0.25">
      <c r="A71" s="166"/>
      <c r="B71" s="269"/>
      <c r="C71" s="372"/>
      <c r="D71" s="834" t="s">
        <v>73</v>
      </c>
      <c r="E71" s="852">
        <f ca="1">VLOOKUP($G71,Data!$K$2:$O$58,5,FALSE)</f>
        <v>0</v>
      </c>
      <c r="F71" s="372"/>
      <c r="G71" s="834" t="s">
        <v>73</v>
      </c>
      <c r="H71" s="852">
        <f ca="1">VLOOKUP($G71,Data!$K$2:$O$58,5,FALSE)</f>
        <v>0</v>
      </c>
      <c r="I71" s="841" t="s">
        <v>1447</v>
      </c>
      <c r="J71" s="841" t="s">
        <v>1447</v>
      </c>
      <c r="K71" s="841" t="s">
        <v>1447</v>
      </c>
      <c r="L71" s="841" t="s">
        <v>1447</v>
      </c>
      <c r="M71" s="260"/>
      <c r="N71" s="273"/>
      <c r="O71" s="274"/>
    </row>
    <row r="72" spans="1:15" ht="13.95" customHeight="1" x14ac:dyDescent="0.25">
      <c r="A72" s="166"/>
      <c r="B72" s="269"/>
      <c r="C72" s="372"/>
      <c r="D72" s="834" t="s">
        <v>76</v>
      </c>
      <c r="E72" s="852">
        <f ca="1">VLOOKUP($G72,Data!$K$2:$O$58,5,FALSE)</f>
        <v>1</v>
      </c>
      <c r="F72" s="372"/>
      <c r="G72" s="834" t="s">
        <v>76</v>
      </c>
      <c r="H72" s="852">
        <f ca="1">VLOOKUP($G72,Data!$K$2:$O$58,5,FALSE)</f>
        <v>1</v>
      </c>
      <c r="I72" s="841" t="s">
        <v>1447</v>
      </c>
      <c r="J72" s="841" t="s">
        <v>1447</v>
      </c>
      <c r="K72" s="841" t="s">
        <v>1447</v>
      </c>
      <c r="L72" s="841" t="s">
        <v>1447</v>
      </c>
      <c r="M72" s="260"/>
      <c r="N72" s="273"/>
      <c r="O72" s="274"/>
    </row>
    <row r="73" spans="1:15" ht="13.95" customHeight="1" x14ac:dyDescent="0.25">
      <c r="A73" s="166"/>
      <c r="B73" s="269"/>
      <c r="C73" s="372"/>
      <c r="D73" s="834" t="s">
        <v>74</v>
      </c>
      <c r="E73" s="852">
        <f ca="1">VLOOKUP($G73,Data!$K$2:$O$58,5,FALSE)</f>
        <v>0</v>
      </c>
      <c r="F73" s="372"/>
      <c r="G73" s="834" t="s">
        <v>74</v>
      </c>
      <c r="H73" s="852">
        <f ca="1">VLOOKUP($G73,Data!$K$2:$O$58,5,FALSE)</f>
        <v>0</v>
      </c>
      <c r="I73" s="841" t="s">
        <v>1447</v>
      </c>
      <c r="J73" s="841" t="s">
        <v>1447</v>
      </c>
      <c r="K73" s="841" t="s">
        <v>1447</v>
      </c>
      <c r="L73" s="841" t="s">
        <v>1447</v>
      </c>
      <c r="M73" s="260"/>
      <c r="N73" s="273"/>
      <c r="O73" s="274"/>
    </row>
    <row r="74" spans="1:15" ht="13.95" customHeight="1" x14ac:dyDescent="0.25">
      <c r="A74" s="166"/>
      <c r="B74" s="269"/>
      <c r="C74" s="372"/>
      <c r="D74" s="834" t="s">
        <v>104</v>
      </c>
      <c r="E74" s="852">
        <f ca="1">VLOOKUP($G74,Data!$K$2:$O$58,5,FALSE)</f>
        <v>0</v>
      </c>
      <c r="F74" s="372"/>
      <c r="G74" s="834" t="s">
        <v>104</v>
      </c>
      <c r="H74" s="852">
        <f ca="1">VLOOKUP($G74,Data!$K$2:$O$58,5,FALSE)</f>
        <v>0</v>
      </c>
      <c r="I74" s="841" t="s">
        <v>1447</v>
      </c>
      <c r="J74" s="841" t="s">
        <v>1447</v>
      </c>
      <c r="K74" s="841" t="s">
        <v>1447</v>
      </c>
      <c r="L74" s="841" t="s">
        <v>1447</v>
      </c>
      <c r="M74" s="260"/>
      <c r="N74" s="273"/>
      <c r="O74" s="274"/>
    </row>
    <row r="75" spans="1:15" ht="13.95" customHeight="1" x14ac:dyDescent="0.25">
      <c r="A75" s="166"/>
      <c r="B75" s="269"/>
      <c r="C75" s="372"/>
      <c r="D75" s="848" t="s">
        <v>106</v>
      </c>
      <c r="E75" s="852">
        <f ca="1">VLOOKUP($G75,Data!$K$2:$O$58,5,FALSE)</f>
        <v>0</v>
      </c>
      <c r="F75" s="372"/>
      <c r="G75" s="848" t="s">
        <v>106</v>
      </c>
      <c r="H75" s="852">
        <f ca="1">VLOOKUP($G75,Data!$K$2:$O$58,5,FALSE)</f>
        <v>0</v>
      </c>
      <c r="I75" s="841" t="s">
        <v>1447</v>
      </c>
      <c r="J75" s="841" t="s">
        <v>1447</v>
      </c>
      <c r="K75" s="841" t="s">
        <v>1447</v>
      </c>
      <c r="L75" s="841" t="s">
        <v>1447</v>
      </c>
      <c r="M75" s="260"/>
      <c r="N75" s="273"/>
      <c r="O75" s="274"/>
    </row>
    <row r="76" spans="1:15" ht="13.95" customHeight="1" x14ac:dyDescent="0.25">
      <c r="A76" s="166"/>
      <c r="B76" s="269"/>
      <c r="C76" s="372"/>
      <c r="D76" s="848" t="s">
        <v>108</v>
      </c>
      <c r="E76" s="852">
        <f ca="1">VLOOKUP($G76,Data!$K$2:$O$58,5,FALSE)</f>
        <v>0</v>
      </c>
      <c r="F76" s="372"/>
      <c r="G76" s="848" t="s">
        <v>108</v>
      </c>
      <c r="H76" s="852">
        <f ca="1">VLOOKUP($G76,Data!$K$2:$O$58,5,FALSE)</f>
        <v>0</v>
      </c>
      <c r="I76" s="841" t="s">
        <v>1447</v>
      </c>
      <c r="J76" s="841" t="s">
        <v>1447</v>
      </c>
      <c r="K76" s="841" t="s">
        <v>1447</v>
      </c>
      <c r="L76" s="841" t="s">
        <v>1447</v>
      </c>
      <c r="M76" s="260"/>
      <c r="N76" s="273"/>
      <c r="O76" s="274"/>
    </row>
    <row r="77" spans="1:15" ht="13.95" customHeight="1" x14ac:dyDescent="0.25">
      <c r="A77" s="166"/>
      <c r="B77" s="269"/>
      <c r="C77" s="372"/>
      <c r="D77" s="848" t="s">
        <v>110</v>
      </c>
      <c r="E77" s="852">
        <f ca="1">VLOOKUP($G77,Data!$K$2:$O$58,5,FALSE)</f>
        <v>0</v>
      </c>
      <c r="F77" s="372"/>
      <c r="G77" s="848" t="s">
        <v>110</v>
      </c>
      <c r="H77" s="852">
        <f ca="1">VLOOKUP($G77,Data!$K$2:$O$58,5,FALSE)</f>
        <v>0</v>
      </c>
      <c r="I77" s="841" t="s">
        <v>1447</v>
      </c>
      <c r="J77" s="841" t="s">
        <v>1447</v>
      </c>
      <c r="K77" s="841" t="s">
        <v>1447</v>
      </c>
      <c r="L77" s="841" t="s">
        <v>1447</v>
      </c>
      <c r="M77" s="260"/>
      <c r="N77" s="273"/>
      <c r="O77" s="274"/>
    </row>
    <row r="78" spans="1:15" ht="13.95" customHeight="1" x14ac:dyDescent="0.25">
      <c r="A78" s="166"/>
      <c r="B78" s="269"/>
      <c r="C78" s="372"/>
      <c r="D78" s="848" t="s">
        <v>112</v>
      </c>
      <c r="E78" s="852">
        <f ca="1">VLOOKUP($G78,Data!$K$2:$O$58,5,FALSE)</f>
        <v>1</v>
      </c>
      <c r="F78" s="372"/>
      <c r="G78" s="848" t="s">
        <v>112</v>
      </c>
      <c r="H78" s="852">
        <f ca="1">VLOOKUP($G78,Data!$K$2:$O$58,5,FALSE)</f>
        <v>1</v>
      </c>
      <c r="I78" s="841" t="s">
        <v>1447</v>
      </c>
      <c r="J78" s="841" t="s">
        <v>1447</v>
      </c>
      <c r="K78" s="841" t="s">
        <v>1447</v>
      </c>
      <c r="L78" s="841" t="s">
        <v>1447</v>
      </c>
      <c r="M78" s="260"/>
      <c r="N78" s="273"/>
      <c r="O78" s="274"/>
    </row>
    <row r="79" spans="1:15" ht="13.95" customHeight="1" x14ac:dyDescent="0.25">
      <c r="A79" s="166"/>
      <c r="B79" s="269"/>
      <c r="C79" s="372"/>
      <c r="D79" s="542" t="s">
        <v>150</v>
      </c>
      <c r="E79" s="856">
        <f ca="1">VLOOKUP($D79,Data!$C$2:$H$384,6,FALSE)</f>
        <v>0</v>
      </c>
      <c r="F79" s="372"/>
      <c r="G79" s="542" t="s">
        <v>150</v>
      </c>
      <c r="H79" s="853">
        <f ca="1">INT(LEFT(
VLOOKUP(RIGHT($G79,LEN($G79)-FIND("-",$G79)), INDIRECT("'"&amp;LEFT($G79,FIND("-",$G79)-1)&amp;"'!"&amp;"$D:$K"), 4,FALSE), 1)
)</f>
        <v>0</v>
      </c>
      <c r="I79" s="661" t="str">
        <f ca="1">IF(VLOOKUP(RIGHT($G79,LEN($G79)-FIND("-",$G79)), INDIRECT("'"&amp;LEFT($G79,FIND("-",$G79)-1)&amp;"'!"&amp;"$D:$K"), 5,FALSE) = 0, "",
VLOOKUP(RIGHT($G79,LEN($G79)-FIND("-",$G79)), INDIRECT("'"&amp;LEFT($G79,FIND("-",$G79)-1)&amp;"'!"&amp;"$D:$K"), 5,FALSE) )</f>
        <v/>
      </c>
      <c r="J79" s="661" t="str">
        <f t="shared" ref="J79:J142" ca="1" si="0">IF(VLOOKUP(RIGHT($G79,LEN($G79)-FIND("-",$G79)), INDIRECT("'"&amp;LEFT($G79,FIND("-",$G79)-1)&amp;"'!"&amp;"$D:$K"), 6,FALSE) = 0, "",
VLOOKUP(RIGHT($G79,LEN($G79)-FIND("-",$G79)), INDIRECT("'"&amp;LEFT($G79,FIND("-",$G79)-1)&amp;"'!"&amp;"$D:$K"), 6,FALSE) )</f>
        <v/>
      </c>
      <c r="K79" s="661" t="str">
        <f t="shared" ref="K79:K142" ca="1" si="1">IF(VLOOKUP(RIGHT($G79,LEN($G79)-FIND("-",$G79)), INDIRECT("'"&amp;LEFT($G79,FIND("-",$G79)-1)&amp;"'!"&amp;"$D:$K"), 7,FALSE) = 0, "",
VLOOKUP(RIGHT($G79,LEN($G79)-FIND("-",$G79)), INDIRECT("'"&amp;LEFT($G79,FIND("-",$G79)-1)&amp;"'!"&amp;"$D:$K"), 7,FALSE) )</f>
        <v/>
      </c>
      <c r="L79" s="661" t="str">
        <f t="shared" ref="L79:L142" ca="1" si="2">IF(VLOOKUP(RIGHT($G79,LEN($G79)-FIND("-",$G79)), INDIRECT("'"&amp;LEFT($G79,FIND("-",$G79)-1)&amp;"'!"&amp;"$D:$K"), 8,FALSE) = 0, "",
VLOOKUP(RIGHT($G79,LEN($G79)-FIND("-",$G79)), INDIRECT("'"&amp;LEFT($G79,FIND("-",$G79)-1)&amp;"'!"&amp;"$D:$K"), 8,FALSE) )</f>
        <v/>
      </c>
      <c r="M79" s="260"/>
      <c r="N79" s="273"/>
      <c r="O79" s="274"/>
    </row>
    <row r="80" spans="1:15" ht="13.95" customHeight="1" x14ac:dyDescent="0.25">
      <c r="A80" s="166"/>
      <c r="B80" s="269"/>
      <c r="C80" s="372"/>
      <c r="D80" s="542" t="s">
        <v>152</v>
      </c>
      <c r="E80" s="856">
        <f ca="1">VLOOKUP($D80,Data!$C$2:$H$384,6,FALSE)</f>
        <v>0</v>
      </c>
      <c r="F80" s="372"/>
      <c r="G80" s="542" t="s">
        <v>152</v>
      </c>
      <c r="H80" s="853">
        <f t="shared" ref="H80:H143" ca="1" si="3">INT(LEFT(
VLOOKUP(RIGHT($G80,LEN($G80)-FIND("-",$G80)), INDIRECT("'"&amp;LEFT($G80,FIND("-",$G80)-1)&amp;"'!"&amp;"$D:$K"), 4,FALSE), 1)
)</f>
        <v>0</v>
      </c>
      <c r="I80" s="661" t="str">
        <f t="shared" ref="I80:I142" ca="1" si="4">IF(VLOOKUP(RIGHT($G80,LEN($G80)-FIND("-",$G80)), INDIRECT("'"&amp;LEFT($G80,FIND("-",$G80)-1)&amp;"'!"&amp;"$D:$K"), 5,FALSE) = 0, "",
VLOOKUP(RIGHT($G80,LEN($G80)-FIND("-",$G80)), INDIRECT("'"&amp;LEFT($G80,FIND("-",$G80)-1)&amp;"'!"&amp;"$D:$K"), 5,FALSE) )</f>
        <v/>
      </c>
      <c r="J80" s="661" t="str">
        <f t="shared" ca="1" si="0"/>
        <v/>
      </c>
      <c r="K80" s="661" t="str">
        <f t="shared" ca="1" si="1"/>
        <v/>
      </c>
      <c r="L80" s="661" t="str">
        <f t="shared" ca="1" si="2"/>
        <v/>
      </c>
      <c r="M80" s="260"/>
      <c r="N80" s="273"/>
      <c r="O80" s="274"/>
    </row>
    <row r="81" spans="1:15" ht="13.95" customHeight="1" x14ac:dyDescent="0.25">
      <c r="A81" s="166"/>
      <c r="B81" s="269"/>
      <c r="C81" s="372"/>
      <c r="D81" s="542" t="s">
        <v>153</v>
      </c>
      <c r="E81" s="856">
        <f ca="1">VLOOKUP($D81,Data!$C$2:$H$384,6,FALSE)</f>
        <v>0</v>
      </c>
      <c r="F81" s="372"/>
      <c r="G81" s="542" t="s">
        <v>153</v>
      </c>
      <c r="H81" s="853">
        <f t="shared" ca="1" si="3"/>
        <v>0</v>
      </c>
      <c r="I81" s="661" t="str">
        <f t="shared" ca="1" si="4"/>
        <v/>
      </c>
      <c r="J81" s="661" t="str">
        <f t="shared" ca="1" si="0"/>
        <v/>
      </c>
      <c r="K81" s="661" t="str">
        <f t="shared" ca="1" si="1"/>
        <v/>
      </c>
      <c r="L81" s="661" t="str">
        <f t="shared" ca="1" si="2"/>
        <v/>
      </c>
      <c r="M81" s="260"/>
      <c r="N81" s="273"/>
      <c r="O81" s="274"/>
    </row>
    <row r="82" spans="1:15" ht="13.95" customHeight="1" x14ac:dyDescent="0.25">
      <c r="A82" s="166"/>
      <c r="B82" s="269"/>
      <c r="C82" s="372"/>
      <c r="D82" s="542" t="s">
        <v>154</v>
      </c>
      <c r="E82" s="856">
        <f ca="1">VLOOKUP($D82,Data!$C$2:$H$384,6,FALSE)</f>
        <v>0</v>
      </c>
      <c r="F82" s="372"/>
      <c r="G82" s="542" t="s">
        <v>154</v>
      </c>
      <c r="H82" s="853">
        <f t="shared" ca="1" si="3"/>
        <v>0</v>
      </c>
      <c r="I82" s="661" t="str">
        <f t="shared" ca="1" si="4"/>
        <v/>
      </c>
      <c r="J82" s="661" t="str">
        <f t="shared" ca="1" si="0"/>
        <v/>
      </c>
      <c r="K82" s="661" t="str">
        <f t="shared" ca="1" si="1"/>
        <v/>
      </c>
      <c r="L82" s="661" t="str">
        <f t="shared" ca="1" si="2"/>
        <v/>
      </c>
      <c r="M82" s="260"/>
      <c r="N82" s="273"/>
      <c r="O82" s="274"/>
    </row>
    <row r="83" spans="1:15" ht="13.95" customHeight="1" x14ac:dyDescent="0.25">
      <c r="A83" s="166"/>
      <c r="B83" s="269"/>
      <c r="C83" s="372"/>
      <c r="D83" s="542" t="s">
        <v>155</v>
      </c>
      <c r="E83" s="856">
        <f ca="1">VLOOKUP($D83,Data!$C$2:$H$384,6,FALSE)</f>
        <v>0</v>
      </c>
      <c r="F83" s="372"/>
      <c r="G83" s="542" t="s">
        <v>155</v>
      </c>
      <c r="H83" s="853">
        <f t="shared" ca="1" si="3"/>
        <v>0</v>
      </c>
      <c r="I83" s="661" t="str">
        <f t="shared" ca="1" si="4"/>
        <v/>
      </c>
      <c r="J83" s="661" t="str">
        <f t="shared" ca="1" si="0"/>
        <v/>
      </c>
      <c r="K83" s="661" t="str">
        <f t="shared" ca="1" si="1"/>
        <v/>
      </c>
      <c r="L83" s="661" t="str">
        <f t="shared" ca="1" si="2"/>
        <v/>
      </c>
      <c r="M83" s="260"/>
      <c r="N83" s="273"/>
      <c r="O83" s="274"/>
    </row>
    <row r="84" spans="1:15" ht="13.95" customHeight="1" x14ac:dyDescent="0.25">
      <c r="A84" s="166"/>
      <c r="B84" s="269"/>
      <c r="C84" s="372"/>
      <c r="D84" s="542" t="s">
        <v>156</v>
      </c>
      <c r="E84" s="856">
        <f ca="1">VLOOKUP($D84,Data!$C$2:$H$384,6,FALSE)</f>
        <v>0</v>
      </c>
      <c r="F84" s="372"/>
      <c r="G84" s="542" t="s">
        <v>156</v>
      </c>
      <c r="H84" s="853">
        <f t="shared" ca="1" si="3"/>
        <v>0</v>
      </c>
      <c r="I84" s="661" t="str">
        <f t="shared" ca="1" si="4"/>
        <v/>
      </c>
      <c r="J84" s="661" t="str">
        <f t="shared" ca="1" si="0"/>
        <v/>
      </c>
      <c r="K84" s="661" t="str">
        <f t="shared" ca="1" si="1"/>
        <v/>
      </c>
      <c r="L84" s="661" t="str">
        <f t="shared" ca="1" si="2"/>
        <v/>
      </c>
      <c r="M84" s="260"/>
      <c r="N84" s="273"/>
      <c r="O84" s="274"/>
    </row>
    <row r="85" spans="1:15" ht="13.95" customHeight="1" x14ac:dyDescent="0.25">
      <c r="A85" s="166"/>
      <c r="B85" s="269"/>
      <c r="C85" s="372"/>
      <c r="D85" s="542" t="s">
        <v>157</v>
      </c>
      <c r="E85" s="856">
        <f ca="1">VLOOKUP($D85,Data!$C$2:$H$384,6,FALSE)</f>
        <v>0</v>
      </c>
      <c r="F85" s="372"/>
      <c r="G85" s="542" t="s">
        <v>157</v>
      </c>
      <c r="H85" s="853">
        <f t="shared" ca="1" si="3"/>
        <v>0</v>
      </c>
      <c r="I85" s="661" t="str">
        <f t="shared" ca="1" si="4"/>
        <v/>
      </c>
      <c r="J85" s="661" t="str">
        <f t="shared" ca="1" si="0"/>
        <v/>
      </c>
      <c r="K85" s="661" t="str">
        <f t="shared" ca="1" si="1"/>
        <v/>
      </c>
      <c r="L85" s="661" t="str">
        <f t="shared" ca="1" si="2"/>
        <v/>
      </c>
      <c r="M85" s="260"/>
      <c r="N85" s="273"/>
      <c r="O85" s="274"/>
    </row>
    <row r="86" spans="1:15" ht="13.95" customHeight="1" x14ac:dyDescent="0.25">
      <c r="A86" s="166"/>
      <c r="B86" s="269"/>
      <c r="C86" s="372"/>
      <c r="D86" s="542" t="s">
        <v>2606</v>
      </c>
      <c r="E86" s="856">
        <f ca="1">VLOOKUP($D86,Data!$C$2:$H$384,6,FALSE)</f>
        <v>0</v>
      </c>
      <c r="F86" s="372"/>
      <c r="G86" s="542" t="s">
        <v>2606</v>
      </c>
      <c r="H86" s="853">
        <f t="shared" ca="1" si="3"/>
        <v>0</v>
      </c>
      <c r="I86" s="661" t="str">
        <f t="shared" ca="1" si="4"/>
        <v/>
      </c>
      <c r="J86" s="661" t="str">
        <f t="shared" ca="1" si="0"/>
        <v/>
      </c>
      <c r="K86" s="661" t="str">
        <f t="shared" ca="1" si="1"/>
        <v/>
      </c>
      <c r="L86" s="661" t="str">
        <f t="shared" ca="1" si="2"/>
        <v/>
      </c>
      <c r="M86" s="260"/>
      <c r="N86" s="273"/>
      <c r="O86" s="274"/>
    </row>
    <row r="87" spans="1:15" ht="13.95" customHeight="1" x14ac:dyDescent="0.25">
      <c r="A87" s="166"/>
      <c r="B87" s="269"/>
      <c r="C87" s="372"/>
      <c r="D87" s="542" t="s">
        <v>2607</v>
      </c>
      <c r="E87" s="856">
        <f ca="1">VLOOKUP($D87,Data!$C$2:$H$384,6,FALSE)</f>
        <v>0</v>
      </c>
      <c r="F87" s="372"/>
      <c r="G87" s="542" t="s">
        <v>2607</v>
      </c>
      <c r="H87" s="853">
        <f t="shared" ca="1" si="3"/>
        <v>0</v>
      </c>
      <c r="I87" s="661" t="str">
        <f t="shared" ca="1" si="4"/>
        <v/>
      </c>
      <c r="J87" s="661" t="str">
        <f t="shared" ca="1" si="0"/>
        <v/>
      </c>
      <c r="K87" s="661" t="str">
        <f t="shared" ca="1" si="1"/>
        <v/>
      </c>
      <c r="L87" s="661" t="str">
        <f t="shared" ca="1" si="2"/>
        <v/>
      </c>
      <c r="M87" s="260"/>
      <c r="N87" s="273"/>
      <c r="O87" s="274"/>
    </row>
    <row r="88" spans="1:15" ht="13.95" customHeight="1" x14ac:dyDescent="0.25">
      <c r="A88" s="166"/>
      <c r="B88" s="269"/>
      <c r="C88" s="372"/>
      <c r="D88" s="542" t="s">
        <v>2608</v>
      </c>
      <c r="E88" s="856">
        <f ca="1">VLOOKUP($D88,Data!$C$2:$H$384,6,FALSE)</f>
        <v>0</v>
      </c>
      <c r="F88" s="372"/>
      <c r="G88" s="542" t="s">
        <v>2608</v>
      </c>
      <c r="H88" s="853">
        <f t="shared" ca="1" si="3"/>
        <v>0</v>
      </c>
      <c r="I88" s="661" t="str">
        <f t="shared" ca="1" si="4"/>
        <v/>
      </c>
      <c r="J88" s="661" t="str">
        <f t="shared" ca="1" si="0"/>
        <v/>
      </c>
      <c r="K88" s="661" t="str">
        <f t="shared" ca="1" si="1"/>
        <v/>
      </c>
      <c r="L88" s="661" t="str">
        <f t="shared" ca="1" si="2"/>
        <v/>
      </c>
      <c r="M88" s="260"/>
      <c r="N88" s="273"/>
      <c r="O88" s="274"/>
    </row>
    <row r="89" spans="1:15" ht="13.95" customHeight="1" x14ac:dyDescent="0.25">
      <c r="A89" s="166"/>
      <c r="B89" s="269"/>
      <c r="C89" s="372"/>
      <c r="D89" s="542" t="s">
        <v>158</v>
      </c>
      <c r="E89" s="856">
        <f ca="1">VLOOKUP($D89,Data!$C$2:$H$384,6,FALSE)</f>
        <v>0</v>
      </c>
      <c r="F89" s="372"/>
      <c r="G89" s="542" t="s">
        <v>158</v>
      </c>
      <c r="H89" s="853">
        <f t="shared" ca="1" si="3"/>
        <v>0</v>
      </c>
      <c r="I89" s="661" t="str">
        <f t="shared" ca="1" si="4"/>
        <v/>
      </c>
      <c r="J89" s="661" t="str">
        <f t="shared" ca="1" si="0"/>
        <v/>
      </c>
      <c r="K89" s="661" t="str">
        <f t="shared" ca="1" si="1"/>
        <v/>
      </c>
      <c r="L89" s="661" t="str">
        <f t="shared" ca="1" si="2"/>
        <v/>
      </c>
      <c r="M89" s="260"/>
      <c r="N89" s="273"/>
      <c r="O89" s="274"/>
    </row>
    <row r="90" spans="1:15" ht="13.95" customHeight="1" x14ac:dyDescent="0.25">
      <c r="A90" s="166"/>
      <c r="B90" s="269"/>
      <c r="C90" s="372"/>
      <c r="D90" s="542" t="s">
        <v>159</v>
      </c>
      <c r="E90" s="856">
        <f ca="1">VLOOKUP($D90,Data!$C$2:$H$384,6,FALSE)</f>
        <v>0</v>
      </c>
      <c r="F90" s="372"/>
      <c r="G90" s="542" t="s">
        <v>159</v>
      </c>
      <c r="H90" s="853">
        <f t="shared" ca="1" si="3"/>
        <v>0</v>
      </c>
      <c r="I90" s="661" t="str">
        <f t="shared" ca="1" si="4"/>
        <v/>
      </c>
      <c r="J90" s="661" t="str">
        <f t="shared" ca="1" si="0"/>
        <v/>
      </c>
      <c r="K90" s="661" t="str">
        <f t="shared" ca="1" si="1"/>
        <v/>
      </c>
      <c r="L90" s="661" t="str">
        <f t="shared" ca="1" si="2"/>
        <v/>
      </c>
      <c r="M90" s="260"/>
      <c r="N90" s="273"/>
      <c r="O90" s="274"/>
    </row>
    <row r="91" spans="1:15" ht="13.95" customHeight="1" x14ac:dyDescent="0.25">
      <c r="A91" s="166"/>
      <c r="B91" s="269"/>
      <c r="C91" s="372"/>
      <c r="D91" s="542" t="s">
        <v>160</v>
      </c>
      <c r="E91" s="856">
        <f ca="1">VLOOKUP($D91,Data!$C$2:$H$384,6,FALSE)</f>
        <v>0</v>
      </c>
      <c r="F91" s="372"/>
      <c r="G91" s="542" t="s">
        <v>160</v>
      </c>
      <c r="H91" s="853">
        <f t="shared" ca="1" si="3"/>
        <v>0</v>
      </c>
      <c r="I91" s="661" t="str">
        <f t="shared" ca="1" si="4"/>
        <v/>
      </c>
      <c r="J91" s="661" t="str">
        <f t="shared" ca="1" si="0"/>
        <v/>
      </c>
      <c r="K91" s="661" t="str">
        <f t="shared" ca="1" si="1"/>
        <v/>
      </c>
      <c r="L91" s="661" t="str">
        <f t="shared" ca="1" si="2"/>
        <v/>
      </c>
      <c r="M91" s="260"/>
      <c r="N91" s="273"/>
      <c r="O91" s="274"/>
    </row>
    <row r="92" spans="1:15" ht="13.95" customHeight="1" x14ac:dyDescent="0.25">
      <c r="A92" s="166"/>
      <c r="B92" s="269"/>
      <c r="C92" s="372"/>
      <c r="D92" s="542" t="s">
        <v>161</v>
      </c>
      <c r="E92" s="856">
        <f ca="1">VLOOKUP($D92,Data!$C$2:$H$384,6,FALSE)</f>
        <v>0</v>
      </c>
      <c r="F92" s="372"/>
      <c r="G92" s="542" t="s">
        <v>161</v>
      </c>
      <c r="H92" s="853">
        <f t="shared" ca="1" si="3"/>
        <v>0</v>
      </c>
      <c r="I92" s="661" t="str">
        <f t="shared" ca="1" si="4"/>
        <v/>
      </c>
      <c r="J92" s="661" t="str">
        <f t="shared" ca="1" si="0"/>
        <v/>
      </c>
      <c r="K92" s="661" t="str">
        <f t="shared" ca="1" si="1"/>
        <v/>
      </c>
      <c r="L92" s="661" t="str">
        <f t="shared" ca="1" si="2"/>
        <v/>
      </c>
      <c r="M92" s="260"/>
      <c r="N92" s="273"/>
      <c r="O92" s="274"/>
    </row>
    <row r="93" spans="1:15" ht="13.95" customHeight="1" x14ac:dyDescent="0.25">
      <c r="A93" s="166"/>
      <c r="B93" s="269"/>
      <c r="C93" s="372"/>
      <c r="D93" s="542" t="s">
        <v>162</v>
      </c>
      <c r="E93" s="856">
        <f ca="1">VLOOKUP($D93,Data!$C$2:$H$384,6,FALSE)</f>
        <v>0</v>
      </c>
      <c r="F93" s="372"/>
      <c r="G93" s="542" t="s">
        <v>162</v>
      </c>
      <c r="H93" s="853">
        <f t="shared" ca="1" si="3"/>
        <v>0</v>
      </c>
      <c r="I93" s="661" t="str">
        <f t="shared" ca="1" si="4"/>
        <v/>
      </c>
      <c r="J93" s="661" t="str">
        <f t="shared" ca="1" si="0"/>
        <v/>
      </c>
      <c r="K93" s="661" t="str">
        <f t="shared" ca="1" si="1"/>
        <v/>
      </c>
      <c r="L93" s="661" t="str">
        <f t="shared" ca="1" si="2"/>
        <v/>
      </c>
      <c r="M93" s="260"/>
      <c r="N93" s="273"/>
      <c r="O93" s="274"/>
    </row>
    <row r="94" spans="1:15" ht="13.95" customHeight="1" x14ac:dyDescent="0.25">
      <c r="A94" s="166"/>
      <c r="B94" s="269"/>
      <c r="C94" s="372"/>
      <c r="D94" s="542" t="s">
        <v>163</v>
      </c>
      <c r="E94" s="856">
        <f ca="1">VLOOKUP($D94,Data!$C$2:$H$384,6,FALSE)</f>
        <v>0</v>
      </c>
      <c r="F94" s="372"/>
      <c r="G94" s="542" t="s">
        <v>163</v>
      </c>
      <c r="H94" s="853">
        <f t="shared" ca="1" si="3"/>
        <v>0</v>
      </c>
      <c r="I94" s="661" t="str">
        <f t="shared" ca="1" si="4"/>
        <v/>
      </c>
      <c r="J94" s="661" t="str">
        <f t="shared" ca="1" si="0"/>
        <v/>
      </c>
      <c r="K94" s="661" t="str">
        <f t="shared" ca="1" si="1"/>
        <v/>
      </c>
      <c r="L94" s="661" t="str">
        <f t="shared" ca="1" si="2"/>
        <v/>
      </c>
      <c r="M94" s="260"/>
      <c r="N94" s="273"/>
      <c r="O94" s="274"/>
    </row>
    <row r="95" spans="1:15" ht="13.95" customHeight="1" x14ac:dyDescent="0.25">
      <c r="A95" s="166"/>
      <c r="B95" s="269"/>
      <c r="C95" s="372"/>
      <c r="D95" s="542" t="s">
        <v>164</v>
      </c>
      <c r="E95" s="856">
        <f ca="1">VLOOKUP($D95,Data!$C$2:$H$384,6,FALSE)</f>
        <v>0</v>
      </c>
      <c r="F95" s="372"/>
      <c r="G95" s="542" t="s">
        <v>164</v>
      </c>
      <c r="H95" s="853">
        <f t="shared" ca="1" si="3"/>
        <v>0</v>
      </c>
      <c r="I95" s="661" t="str">
        <f t="shared" ca="1" si="4"/>
        <v/>
      </c>
      <c r="J95" s="661" t="str">
        <f t="shared" ca="1" si="0"/>
        <v/>
      </c>
      <c r="K95" s="661" t="str">
        <f t="shared" ca="1" si="1"/>
        <v/>
      </c>
      <c r="L95" s="661" t="str">
        <f t="shared" ca="1" si="2"/>
        <v/>
      </c>
      <c r="M95" s="260"/>
      <c r="N95" s="273"/>
      <c r="O95" s="274"/>
    </row>
    <row r="96" spans="1:15" ht="13.95" customHeight="1" x14ac:dyDescent="0.25">
      <c r="A96" s="166"/>
      <c r="B96" s="269"/>
      <c r="C96" s="372"/>
      <c r="D96" s="542" t="s">
        <v>166</v>
      </c>
      <c r="E96" s="856">
        <f ca="1">VLOOKUP($D96,Data!$C$2:$H$384,6,FALSE)</f>
        <v>0</v>
      </c>
      <c r="F96" s="372"/>
      <c r="G96" s="542" t="s">
        <v>166</v>
      </c>
      <c r="H96" s="853">
        <f t="shared" ca="1" si="3"/>
        <v>0</v>
      </c>
      <c r="I96" s="661" t="str">
        <f t="shared" ca="1" si="4"/>
        <v/>
      </c>
      <c r="J96" s="661" t="str">
        <f t="shared" ca="1" si="0"/>
        <v/>
      </c>
      <c r="K96" s="661" t="str">
        <f t="shared" ca="1" si="1"/>
        <v/>
      </c>
      <c r="L96" s="661" t="str">
        <f t="shared" ca="1" si="2"/>
        <v/>
      </c>
      <c r="M96" s="260"/>
      <c r="N96" s="273"/>
      <c r="O96" s="274"/>
    </row>
    <row r="97" spans="1:15" ht="13.95" customHeight="1" x14ac:dyDescent="0.25">
      <c r="A97" s="166"/>
      <c r="B97" s="269"/>
      <c r="C97" s="372"/>
      <c r="D97" s="542" t="s">
        <v>964</v>
      </c>
      <c r="E97" s="856">
        <f ca="1">VLOOKUP($D97,Data!$C$2:$H$384,6,FALSE)</f>
        <v>0</v>
      </c>
      <c r="F97" s="372"/>
      <c r="G97" s="542" t="s">
        <v>964</v>
      </c>
      <c r="H97" s="853">
        <f t="shared" ca="1" si="3"/>
        <v>0</v>
      </c>
      <c r="I97" s="661" t="str">
        <f t="shared" ca="1" si="4"/>
        <v/>
      </c>
      <c r="J97" s="661" t="str">
        <f t="shared" ca="1" si="0"/>
        <v/>
      </c>
      <c r="K97" s="661" t="str">
        <f t="shared" ca="1" si="1"/>
        <v/>
      </c>
      <c r="L97" s="661" t="str">
        <f t="shared" ca="1" si="2"/>
        <v/>
      </c>
      <c r="M97" s="260"/>
      <c r="N97" s="273"/>
      <c r="O97" s="274"/>
    </row>
    <row r="98" spans="1:15" ht="13.95" customHeight="1" x14ac:dyDescent="0.25">
      <c r="A98" s="166"/>
      <c r="B98" s="269"/>
      <c r="C98" s="372"/>
      <c r="D98" s="542" t="s">
        <v>168</v>
      </c>
      <c r="E98" s="856">
        <f ca="1">VLOOKUP($D98,Data!$C$2:$H$384,6,FALSE)</f>
        <v>0</v>
      </c>
      <c r="F98" s="372"/>
      <c r="G98" s="542" t="s">
        <v>168</v>
      </c>
      <c r="H98" s="853">
        <f t="shared" ca="1" si="3"/>
        <v>0</v>
      </c>
      <c r="I98" s="661" t="str">
        <f t="shared" ca="1" si="4"/>
        <v/>
      </c>
      <c r="J98" s="661" t="str">
        <f t="shared" ca="1" si="0"/>
        <v/>
      </c>
      <c r="K98" s="661" t="str">
        <f t="shared" ca="1" si="1"/>
        <v/>
      </c>
      <c r="L98" s="661" t="str">
        <f t="shared" ca="1" si="2"/>
        <v/>
      </c>
      <c r="M98" s="260"/>
      <c r="N98" s="273"/>
      <c r="O98" s="274"/>
    </row>
    <row r="99" spans="1:15" ht="13.95" customHeight="1" x14ac:dyDescent="0.25">
      <c r="A99" s="166"/>
      <c r="B99" s="269"/>
      <c r="C99" s="372"/>
      <c r="D99" s="542" t="s">
        <v>169</v>
      </c>
      <c r="E99" s="856">
        <f ca="1">VLOOKUP($D99,Data!$C$2:$H$384,6,FALSE)</f>
        <v>0</v>
      </c>
      <c r="F99" s="372"/>
      <c r="G99" s="542" t="s">
        <v>169</v>
      </c>
      <c r="H99" s="853">
        <f t="shared" ca="1" si="3"/>
        <v>0</v>
      </c>
      <c r="I99" s="661" t="str">
        <f t="shared" ca="1" si="4"/>
        <v/>
      </c>
      <c r="J99" s="661" t="str">
        <f t="shared" ca="1" si="0"/>
        <v/>
      </c>
      <c r="K99" s="661" t="str">
        <f t="shared" ca="1" si="1"/>
        <v/>
      </c>
      <c r="L99" s="661" t="str">
        <f t="shared" ca="1" si="2"/>
        <v/>
      </c>
      <c r="M99" s="260"/>
      <c r="N99" s="273"/>
      <c r="O99" s="274"/>
    </row>
    <row r="100" spans="1:15" ht="13.95" customHeight="1" x14ac:dyDescent="0.25">
      <c r="A100" s="166"/>
      <c r="B100" s="269"/>
      <c r="C100" s="372"/>
      <c r="D100" s="542" t="s">
        <v>170</v>
      </c>
      <c r="E100" s="856">
        <f ca="1">VLOOKUP($D100,Data!$C$2:$H$384,6,FALSE)</f>
        <v>0</v>
      </c>
      <c r="F100" s="372"/>
      <c r="G100" s="542" t="s">
        <v>170</v>
      </c>
      <c r="H100" s="853">
        <f t="shared" ca="1" si="3"/>
        <v>0</v>
      </c>
      <c r="I100" s="661" t="str">
        <f t="shared" ca="1" si="4"/>
        <v/>
      </c>
      <c r="J100" s="661" t="str">
        <f t="shared" ca="1" si="0"/>
        <v/>
      </c>
      <c r="K100" s="661" t="str">
        <f t="shared" ca="1" si="1"/>
        <v/>
      </c>
      <c r="L100" s="661" t="str">
        <f t="shared" ca="1" si="2"/>
        <v/>
      </c>
      <c r="M100" s="260"/>
      <c r="N100" s="273"/>
      <c r="O100" s="274"/>
    </row>
    <row r="101" spans="1:15" ht="13.95" customHeight="1" x14ac:dyDescent="0.25">
      <c r="A101" s="166"/>
      <c r="B101" s="269"/>
      <c r="C101" s="372"/>
      <c r="D101" s="542" t="s">
        <v>171</v>
      </c>
      <c r="E101" s="856">
        <f ca="1">VLOOKUP($D101,Data!$C$2:$H$384,6,FALSE)</f>
        <v>0</v>
      </c>
      <c r="F101" s="372"/>
      <c r="G101" s="542" t="s">
        <v>171</v>
      </c>
      <c r="H101" s="853">
        <f t="shared" ca="1" si="3"/>
        <v>0</v>
      </c>
      <c r="I101" s="661" t="str">
        <f t="shared" ca="1" si="4"/>
        <v/>
      </c>
      <c r="J101" s="661" t="str">
        <f t="shared" ca="1" si="0"/>
        <v/>
      </c>
      <c r="K101" s="661" t="str">
        <f t="shared" ca="1" si="1"/>
        <v/>
      </c>
      <c r="L101" s="661" t="str">
        <f t="shared" ca="1" si="2"/>
        <v/>
      </c>
      <c r="M101" s="260"/>
      <c r="N101" s="273"/>
      <c r="O101" s="274"/>
    </row>
    <row r="102" spans="1:15" ht="13.95" customHeight="1" x14ac:dyDescent="0.25">
      <c r="A102" s="166"/>
      <c r="B102" s="269"/>
      <c r="C102" s="372"/>
      <c r="D102" s="542" t="s">
        <v>172</v>
      </c>
      <c r="E102" s="856">
        <f ca="1">VLOOKUP($D102,Data!$C$2:$H$384,6,FALSE)</f>
        <v>0</v>
      </c>
      <c r="F102" s="372"/>
      <c r="G102" s="542" t="s">
        <v>172</v>
      </c>
      <c r="H102" s="853">
        <f t="shared" ca="1" si="3"/>
        <v>0</v>
      </c>
      <c r="I102" s="661" t="str">
        <f t="shared" ca="1" si="4"/>
        <v/>
      </c>
      <c r="J102" s="661" t="str">
        <f t="shared" ca="1" si="0"/>
        <v/>
      </c>
      <c r="K102" s="661" t="str">
        <f t="shared" ca="1" si="1"/>
        <v/>
      </c>
      <c r="L102" s="661" t="str">
        <f t="shared" ca="1" si="2"/>
        <v/>
      </c>
      <c r="M102" s="260"/>
      <c r="N102" s="273"/>
      <c r="O102" s="274"/>
    </row>
    <row r="103" spans="1:15" ht="13.95" customHeight="1" x14ac:dyDescent="0.25">
      <c r="A103" s="166"/>
      <c r="B103" s="269"/>
      <c r="C103" s="372"/>
      <c r="D103" s="542" t="s">
        <v>173</v>
      </c>
      <c r="E103" s="856">
        <f ca="1">VLOOKUP($D103,Data!$C$2:$H$384,6,FALSE)</f>
        <v>0</v>
      </c>
      <c r="F103" s="372"/>
      <c r="G103" s="542" t="s">
        <v>173</v>
      </c>
      <c r="H103" s="853">
        <f t="shared" ca="1" si="3"/>
        <v>0</v>
      </c>
      <c r="I103" s="661" t="str">
        <f t="shared" ca="1" si="4"/>
        <v/>
      </c>
      <c r="J103" s="661" t="str">
        <f t="shared" ca="1" si="0"/>
        <v/>
      </c>
      <c r="K103" s="661" t="str">
        <f t="shared" ca="1" si="1"/>
        <v/>
      </c>
      <c r="L103" s="661" t="str">
        <f t="shared" ca="1" si="2"/>
        <v/>
      </c>
      <c r="M103" s="260"/>
      <c r="N103" s="273"/>
      <c r="O103" s="274"/>
    </row>
    <row r="104" spans="1:15" ht="13.95" customHeight="1" x14ac:dyDescent="0.25">
      <c r="A104" s="166"/>
      <c r="B104" s="269"/>
      <c r="C104" s="372"/>
      <c r="D104" s="542" t="s">
        <v>174</v>
      </c>
      <c r="E104" s="856">
        <f ca="1">VLOOKUP($D104,Data!$C$2:$H$384,6,FALSE)</f>
        <v>0</v>
      </c>
      <c r="F104" s="372"/>
      <c r="G104" s="542" t="s">
        <v>174</v>
      </c>
      <c r="H104" s="853">
        <f t="shared" ca="1" si="3"/>
        <v>0</v>
      </c>
      <c r="I104" s="661" t="str">
        <f t="shared" ca="1" si="4"/>
        <v/>
      </c>
      <c r="J104" s="661" t="str">
        <f t="shared" ca="1" si="0"/>
        <v/>
      </c>
      <c r="K104" s="661" t="str">
        <f t="shared" ca="1" si="1"/>
        <v/>
      </c>
      <c r="L104" s="661" t="str">
        <f t="shared" ca="1" si="2"/>
        <v/>
      </c>
      <c r="M104" s="260"/>
      <c r="N104" s="273"/>
      <c r="O104" s="274"/>
    </row>
    <row r="105" spans="1:15" ht="13.95" customHeight="1" x14ac:dyDescent="0.25">
      <c r="A105" s="166"/>
      <c r="B105" s="269"/>
      <c r="C105" s="372"/>
      <c r="D105" s="542" t="s">
        <v>965</v>
      </c>
      <c r="E105" s="856">
        <f ca="1">VLOOKUP($D105,Data!$C$2:$H$384,6,FALSE)</f>
        <v>0</v>
      </c>
      <c r="F105" s="372"/>
      <c r="G105" s="542" t="s">
        <v>965</v>
      </c>
      <c r="H105" s="853">
        <f t="shared" ca="1" si="3"/>
        <v>0</v>
      </c>
      <c r="I105" s="661" t="str">
        <f t="shared" ca="1" si="4"/>
        <v/>
      </c>
      <c r="J105" s="661" t="str">
        <f t="shared" ca="1" si="0"/>
        <v/>
      </c>
      <c r="K105" s="661" t="str">
        <f t="shared" ca="1" si="1"/>
        <v/>
      </c>
      <c r="L105" s="661" t="str">
        <f t="shared" ca="1" si="2"/>
        <v/>
      </c>
      <c r="M105" s="260"/>
      <c r="N105" s="273"/>
      <c r="O105" s="274"/>
    </row>
    <row r="106" spans="1:15" ht="13.95" customHeight="1" x14ac:dyDescent="0.25">
      <c r="A106" s="166"/>
      <c r="B106" s="269"/>
      <c r="C106" s="372"/>
      <c r="D106" s="542" t="s">
        <v>966</v>
      </c>
      <c r="E106" s="856">
        <f ca="1">VLOOKUP($D106,Data!$C$2:$H$384,6,FALSE)</f>
        <v>0</v>
      </c>
      <c r="F106" s="372"/>
      <c r="G106" s="542" t="s">
        <v>966</v>
      </c>
      <c r="H106" s="853">
        <f t="shared" ca="1" si="3"/>
        <v>0</v>
      </c>
      <c r="I106" s="661" t="str">
        <f t="shared" ca="1" si="4"/>
        <v/>
      </c>
      <c r="J106" s="661" t="str">
        <f t="shared" ca="1" si="0"/>
        <v/>
      </c>
      <c r="K106" s="661" t="str">
        <f t="shared" ca="1" si="1"/>
        <v/>
      </c>
      <c r="L106" s="661" t="str">
        <f t="shared" ca="1" si="2"/>
        <v/>
      </c>
      <c r="M106" s="260"/>
      <c r="N106" s="273"/>
      <c r="O106" s="274"/>
    </row>
    <row r="107" spans="1:15" ht="13.95" customHeight="1" x14ac:dyDescent="0.25">
      <c r="A107" s="166"/>
      <c r="B107" s="269"/>
      <c r="C107" s="372"/>
      <c r="D107" s="542" t="s">
        <v>2609</v>
      </c>
      <c r="E107" s="856">
        <f ca="1">VLOOKUP($D107,Data!$C$2:$H$384,6,FALSE)</f>
        <v>0</v>
      </c>
      <c r="F107" s="372"/>
      <c r="G107" s="542" t="s">
        <v>2609</v>
      </c>
      <c r="H107" s="853">
        <f t="shared" ca="1" si="3"/>
        <v>0</v>
      </c>
      <c r="I107" s="661" t="str">
        <f t="shared" ca="1" si="4"/>
        <v/>
      </c>
      <c r="J107" s="661" t="str">
        <f t="shared" ca="1" si="0"/>
        <v/>
      </c>
      <c r="K107" s="661" t="str">
        <f t="shared" ca="1" si="1"/>
        <v/>
      </c>
      <c r="L107" s="661" t="str">
        <f t="shared" ca="1" si="2"/>
        <v/>
      </c>
      <c r="M107" s="260"/>
      <c r="N107" s="273"/>
      <c r="O107" s="274"/>
    </row>
    <row r="108" spans="1:15" ht="13.95" customHeight="1" x14ac:dyDescent="0.25">
      <c r="A108" s="166"/>
      <c r="B108" s="269"/>
      <c r="C108" s="372"/>
      <c r="D108" s="542" t="s">
        <v>967</v>
      </c>
      <c r="E108" s="856">
        <f ca="1">VLOOKUP($D108,Data!$C$2:$H$384,6,FALSE)</f>
        <v>0</v>
      </c>
      <c r="F108" s="372"/>
      <c r="G108" s="542" t="s">
        <v>967</v>
      </c>
      <c r="H108" s="853">
        <f t="shared" ca="1" si="3"/>
        <v>0</v>
      </c>
      <c r="I108" s="661" t="str">
        <f t="shared" ca="1" si="4"/>
        <v/>
      </c>
      <c r="J108" s="661" t="str">
        <f t="shared" ca="1" si="0"/>
        <v/>
      </c>
      <c r="K108" s="661" t="str">
        <f t="shared" ca="1" si="1"/>
        <v/>
      </c>
      <c r="L108" s="661" t="str">
        <f t="shared" ca="1" si="2"/>
        <v/>
      </c>
      <c r="M108" s="260"/>
      <c r="N108" s="273"/>
      <c r="O108" s="274"/>
    </row>
    <row r="109" spans="1:15" ht="13.95" customHeight="1" x14ac:dyDescent="0.25">
      <c r="A109" s="166"/>
      <c r="B109" s="269"/>
      <c r="C109" s="372"/>
      <c r="D109" s="542" t="s">
        <v>968</v>
      </c>
      <c r="E109" s="856">
        <f ca="1">VLOOKUP($D109,Data!$C$2:$H$384,6,FALSE)</f>
        <v>0</v>
      </c>
      <c r="F109" s="372"/>
      <c r="G109" s="542" t="s">
        <v>968</v>
      </c>
      <c r="H109" s="853">
        <f t="shared" ca="1" si="3"/>
        <v>0</v>
      </c>
      <c r="I109" s="661" t="str">
        <f t="shared" ca="1" si="4"/>
        <v/>
      </c>
      <c r="J109" s="661" t="str">
        <f t="shared" ca="1" si="0"/>
        <v/>
      </c>
      <c r="K109" s="661" t="str">
        <f t="shared" ca="1" si="1"/>
        <v/>
      </c>
      <c r="L109" s="661" t="str">
        <f t="shared" ca="1" si="2"/>
        <v/>
      </c>
      <c r="M109" s="260"/>
      <c r="N109" s="273"/>
      <c r="O109" s="274"/>
    </row>
    <row r="110" spans="1:15" ht="13.95" customHeight="1" x14ac:dyDescent="0.25">
      <c r="A110" s="166"/>
      <c r="B110" s="269"/>
      <c r="C110" s="372"/>
      <c r="D110" s="542" t="s">
        <v>969</v>
      </c>
      <c r="E110" s="856">
        <f ca="1">VLOOKUP($D110,Data!$C$2:$H$384,6,FALSE)</f>
        <v>0</v>
      </c>
      <c r="F110" s="372"/>
      <c r="G110" s="542" t="s">
        <v>969</v>
      </c>
      <c r="H110" s="853">
        <f t="shared" ca="1" si="3"/>
        <v>0</v>
      </c>
      <c r="I110" s="661" t="str">
        <f t="shared" ca="1" si="4"/>
        <v/>
      </c>
      <c r="J110" s="661" t="str">
        <f t="shared" ca="1" si="0"/>
        <v/>
      </c>
      <c r="K110" s="661" t="str">
        <f t="shared" ca="1" si="1"/>
        <v/>
      </c>
      <c r="L110" s="661" t="str">
        <f t="shared" ca="1" si="2"/>
        <v/>
      </c>
      <c r="M110" s="260"/>
      <c r="N110" s="273"/>
      <c r="O110" s="274"/>
    </row>
    <row r="111" spans="1:15" ht="13.95" customHeight="1" x14ac:dyDescent="0.25">
      <c r="A111" s="166"/>
      <c r="B111" s="269"/>
      <c r="C111" s="372"/>
      <c r="D111" s="542" t="s">
        <v>970</v>
      </c>
      <c r="E111" s="856">
        <f ca="1">VLOOKUP($D111,Data!$C$2:$H$384,6,FALSE)</f>
        <v>0</v>
      </c>
      <c r="F111" s="372"/>
      <c r="G111" s="542" t="s">
        <v>970</v>
      </c>
      <c r="H111" s="853">
        <f t="shared" ca="1" si="3"/>
        <v>0</v>
      </c>
      <c r="I111" s="661" t="str">
        <f t="shared" ca="1" si="4"/>
        <v/>
      </c>
      <c r="J111" s="661" t="str">
        <f t="shared" ca="1" si="0"/>
        <v/>
      </c>
      <c r="K111" s="661" t="str">
        <f t="shared" ca="1" si="1"/>
        <v/>
      </c>
      <c r="L111" s="661" t="str">
        <f t="shared" ca="1" si="2"/>
        <v/>
      </c>
      <c r="M111" s="260"/>
      <c r="N111" s="273"/>
      <c r="O111" s="274"/>
    </row>
    <row r="112" spans="1:15" ht="13.95" customHeight="1" x14ac:dyDescent="0.25">
      <c r="A112" s="166"/>
      <c r="B112" s="269"/>
      <c r="C112" s="372"/>
      <c r="D112" s="542" t="s">
        <v>971</v>
      </c>
      <c r="E112" s="856">
        <f ca="1">VLOOKUP($D112,Data!$C$2:$H$384,6,FALSE)</f>
        <v>0</v>
      </c>
      <c r="F112" s="372"/>
      <c r="G112" s="542" t="s">
        <v>971</v>
      </c>
      <c r="H112" s="853">
        <f t="shared" ca="1" si="3"/>
        <v>0</v>
      </c>
      <c r="I112" s="661" t="str">
        <f t="shared" ca="1" si="4"/>
        <v/>
      </c>
      <c r="J112" s="661" t="str">
        <f t="shared" ca="1" si="0"/>
        <v/>
      </c>
      <c r="K112" s="661" t="str">
        <f t="shared" ca="1" si="1"/>
        <v/>
      </c>
      <c r="L112" s="661" t="str">
        <f t="shared" ca="1" si="2"/>
        <v/>
      </c>
      <c r="M112" s="260"/>
      <c r="N112" s="273"/>
      <c r="O112" s="274"/>
    </row>
    <row r="113" spans="1:15" ht="13.95" customHeight="1" x14ac:dyDescent="0.25">
      <c r="A113" s="166"/>
      <c r="B113" s="269"/>
      <c r="C113" s="372"/>
      <c r="D113" s="542" t="s">
        <v>972</v>
      </c>
      <c r="E113" s="856">
        <f ca="1">VLOOKUP($D113,Data!$C$2:$H$384,6,FALSE)</f>
        <v>0</v>
      </c>
      <c r="F113" s="372"/>
      <c r="G113" s="542" t="s">
        <v>972</v>
      </c>
      <c r="H113" s="853">
        <f t="shared" ca="1" si="3"/>
        <v>0</v>
      </c>
      <c r="I113" s="661" t="str">
        <f t="shared" ca="1" si="4"/>
        <v/>
      </c>
      <c r="J113" s="661" t="str">
        <f t="shared" ca="1" si="0"/>
        <v/>
      </c>
      <c r="K113" s="661" t="str">
        <f t="shared" ca="1" si="1"/>
        <v/>
      </c>
      <c r="L113" s="661" t="str">
        <f t="shared" ca="1" si="2"/>
        <v/>
      </c>
      <c r="M113" s="260"/>
      <c r="N113" s="273"/>
      <c r="O113" s="274"/>
    </row>
    <row r="114" spans="1:15" ht="13.95" customHeight="1" x14ac:dyDescent="0.25">
      <c r="A114" s="166"/>
      <c r="B114" s="269"/>
      <c r="C114" s="372"/>
      <c r="D114" s="542" t="s">
        <v>303</v>
      </c>
      <c r="E114" s="856">
        <f ca="1">VLOOKUP($D114,Data!$C$2:$H$384,6,FALSE)</f>
        <v>0</v>
      </c>
      <c r="F114" s="372"/>
      <c r="G114" s="542" t="s">
        <v>303</v>
      </c>
      <c r="H114" s="853">
        <f t="shared" ca="1" si="3"/>
        <v>0</v>
      </c>
      <c r="I114" s="661" t="str">
        <f t="shared" ca="1" si="4"/>
        <v/>
      </c>
      <c r="J114" s="661" t="str">
        <f t="shared" ca="1" si="0"/>
        <v/>
      </c>
      <c r="K114" s="661" t="str">
        <f t="shared" ca="1" si="1"/>
        <v/>
      </c>
      <c r="L114" s="661" t="str">
        <f t="shared" ca="1" si="2"/>
        <v/>
      </c>
      <c r="M114" s="260"/>
      <c r="N114" s="273"/>
      <c r="O114" s="274"/>
    </row>
    <row r="115" spans="1:15" ht="13.95" customHeight="1" x14ac:dyDescent="0.25">
      <c r="A115" s="166"/>
      <c r="B115" s="269"/>
      <c r="C115" s="372"/>
      <c r="D115" s="542" t="s">
        <v>304</v>
      </c>
      <c r="E115" s="856">
        <f ca="1">VLOOKUP($D115,Data!$C$2:$H$384,6,FALSE)</f>
        <v>0</v>
      </c>
      <c r="F115" s="372"/>
      <c r="G115" s="542" t="s">
        <v>304</v>
      </c>
      <c r="H115" s="853">
        <f t="shared" ca="1" si="3"/>
        <v>0</v>
      </c>
      <c r="I115" s="661" t="str">
        <f t="shared" ca="1" si="4"/>
        <v/>
      </c>
      <c r="J115" s="661" t="str">
        <f t="shared" ca="1" si="0"/>
        <v/>
      </c>
      <c r="K115" s="661" t="str">
        <f t="shared" ca="1" si="1"/>
        <v/>
      </c>
      <c r="L115" s="661" t="str">
        <f t="shared" ca="1" si="2"/>
        <v/>
      </c>
      <c r="M115" s="260"/>
      <c r="N115" s="273"/>
      <c r="O115" s="274"/>
    </row>
    <row r="116" spans="1:15" ht="13.95" customHeight="1" x14ac:dyDescent="0.25">
      <c r="A116" s="166"/>
      <c r="B116" s="269"/>
      <c r="C116" s="372"/>
      <c r="D116" s="542" t="s">
        <v>305</v>
      </c>
      <c r="E116" s="856">
        <f ca="1">VLOOKUP($D116,Data!$C$2:$H$384,6,FALSE)</f>
        <v>0</v>
      </c>
      <c r="F116" s="372"/>
      <c r="G116" s="542" t="s">
        <v>305</v>
      </c>
      <c r="H116" s="853">
        <f t="shared" ca="1" si="3"/>
        <v>0</v>
      </c>
      <c r="I116" s="661" t="str">
        <f t="shared" ca="1" si="4"/>
        <v/>
      </c>
      <c r="J116" s="661" t="str">
        <f t="shared" ca="1" si="0"/>
        <v/>
      </c>
      <c r="K116" s="661" t="str">
        <f t="shared" ca="1" si="1"/>
        <v/>
      </c>
      <c r="L116" s="661" t="str">
        <f t="shared" ca="1" si="2"/>
        <v/>
      </c>
      <c r="M116" s="260"/>
      <c r="N116" s="273"/>
      <c r="O116" s="274"/>
    </row>
    <row r="117" spans="1:15" ht="13.95" customHeight="1" x14ac:dyDescent="0.25">
      <c r="A117" s="166"/>
      <c r="B117" s="269"/>
      <c r="C117" s="372"/>
      <c r="D117" s="542" t="s">
        <v>306</v>
      </c>
      <c r="E117" s="856">
        <f ca="1">VLOOKUP($D117,Data!$C$2:$H$384,6,FALSE)</f>
        <v>0</v>
      </c>
      <c r="F117" s="372"/>
      <c r="G117" s="542" t="s">
        <v>306</v>
      </c>
      <c r="H117" s="853">
        <f t="shared" ca="1" si="3"/>
        <v>0</v>
      </c>
      <c r="I117" s="661" t="str">
        <f t="shared" ca="1" si="4"/>
        <v/>
      </c>
      <c r="J117" s="661" t="str">
        <f t="shared" ca="1" si="0"/>
        <v/>
      </c>
      <c r="K117" s="661" t="str">
        <f t="shared" ca="1" si="1"/>
        <v/>
      </c>
      <c r="L117" s="661" t="str">
        <f t="shared" ca="1" si="2"/>
        <v/>
      </c>
      <c r="M117" s="260"/>
      <c r="N117" s="273"/>
      <c r="O117" s="274"/>
    </row>
    <row r="118" spans="1:15" ht="13.95" customHeight="1" x14ac:dyDescent="0.25">
      <c r="A118" s="166"/>
      <c r="B118" s="269"/>
      <c r="C118" s="372"/>
      <c r="D118" s="542" t="s">
        <v>307</v>
      </c>
      <c r="E118" s="856">
        <f ca="1">VLOOKUP($D118,Data!$C$2:$H$384,6,FALSE)</f>
        <v>0</v>
      </c>
      <c r="F118" s="372"/>
      <c r="G118" s="542" t="s">
        <v>307</v>
      </c>
      <c r="H118" s="853">
        <f t="shared" ca="1" si="3"/>
        <v>0</v>
      </c>
      <c r="I118" s="661" t="str">
        <f t="shared" ca="1" si="4"/>
        <v/>
      </c>
      <c r="J118" s="661" t="str">
        <f t="shared" ca="1" si="0"/>
        <v/>
      </c>
      <c r="K118" s="661" t="str">
        <f t="shared" ca="1" si="1"/>
        <v/>
      </c>
      <c r="L118" s="661" t="str">
        <f t="shared" ca="1" si="2"/>
        <v/>
      </c>
      <c r="M118" s="260"/>
      <c r="N118" s="273"/>
      <c r="O118" s="274"/>
    </row>
    <row r="119" spans="1:15" ht="13.95" customHeight="1" x14ac:dyDescent="0.25">
      <c r="A119" s="166"/>
      <c r="B119" s="269"/>
      <c r="C119" s="372"/>
      <c r="D119" s="542" t="s">
        <v>308</v>
      </c>
      <c r="E119" s="856">
        <f ca="1">VLOOKUP($D119,Data!$C$2:$H$384,6,FALSE)</f>
        <v>0</v>
      </c>
      <c r="F119" s="372"/>
      <c r="G119" s="542" t="s">
        <v>308</v>
      </c>
      <c r="H119" s="853">
        <f t="shared" ca="1" si="3"/>
        <v>0</v>
      </c>
      <c r="I119" s="661" t="str">
        <f t="shared" ca="1" si="4"/>
        <v/>
      </c>
      <c r="J119" s="661" t="str">
        <f t="shared" ca="1" si="0"/>
        <v/>
      </c>
      <c r="K119" s="661" t="str">
        <f t="shared" ca="1" si="1"/>
        <v/>
      </c>
      <c r="L119" s="661" t="str">
        <f t="shared" ca="1" si="2"/>
        <v/>
      </c>
      <c r="M119" s="260"/>
      <c r="N119" s="273"/>
      <c r="O119" s="274"/>
    </row>
    <row r="120" spans="1:15" ht="13.95" customHeight="1" x14ac:dyDescent="0.25">
      <c r="A120" s="166"/>
      <c r="B120" s="269"/>
      <c r="C120" s="372"/>
      <c r="D120" s="542" t="s">
        <v>309</v>
      </c>
      <c r="E120" s="856">
        <f ca="1">VLOOKUP($D120,Data!$C$2:$H$384,6,FALSE)</f>
        <v>0</v>
      </c>
      <c r="F120" s="372"/>
      <c r="G120" s="542" t="s">
        <v>309</v>
      </c>
      <c r="H120" s="853">
        <f t="shared" ca="1" si="3"/>
        <v>0</v>
      </c>
      <c r="I120" s="661" t="str">
        <f t="shared" ca="1" si="4"/>
        <v/>
      </c>
      <c r="J120" s="661" t="str">
        <f t="shared" ca="1" si="0"/>
        <v/>
      </c>
      <c r="K120" s="661" t="str">
        <f t="shared" ca="1" si="1"/>
        <v/>
      </c>
      <c r="L120" s="661" t="str">
        <f t="shared" ca="1" si="2"/>
        <v/>
      </c>
      <c r="M120" s="260"/>
      <c r="N120" s="273"/>
      <c r="O120" s="274"/>
    </row>
    <row r="121" spans="1:15" ht="13.95" customHeight="1" x14ac:dyDescent="0.25">
      <c r="A121" s="166"/>
      <c r="B121" s="269"/>
      <c r="C121" s="372"/>
      <c r="D121" s="542" t="s">
        <v>310</v>
      </c>
      <c r="E121" s="856">
        <f ca="1">VLOOKUP($D121,Data!$C$2:$H$384,6,FALSE)</f>
        <v>0</v>
      </c>
      <c r="F121" s="372"/>
      <c r="G121" s="542" t="s">
        <v>310</v>
      </c>
      <c r="H121" s="853">
        <f t="shared" ca="1" si="3"/>
        <v>0</v>
      </c>
      <c r="I121" s="661" t="str">
        <f t="shared" ca="1" si="4"/>
        <v/>
      </c>
      <c r="J121" s="661" t="str">
        <f t="shared" ca="1" si="0"/>
        <v/>
      </c>
      <c r="K121" s="661" t="str">
        <f t="shared" ca="1" si="1"/>
        <v/>
      </c>
      <c r="L121" s="661" t="str">
        <f t="shared" ca="1" si="2"/>
        <v/>
      </c>
      <c r="M121" s="260"/>
      <c r="N121" s="273"/>
      <c r="O121" s="274"/>
    </row>
    <row r="122" spans="1:15" ht="13.95" customHeight="1" x14ac:dyDescent="0.25">
      <c r="A122" s="166"/>
      <c r="B122" s="269"/>
      <c r="C122" s="372"/>
      <c r="D122" s="542" t="s">
        <v>311</v>
      </c>
      <c r="E122" s="856">
        <f ca="1">VLOOKUP($D122,Data!$C$2:$H$384,6,FALSE)</f>
        <v>0</v>
      </c>
      <c r="F122" s="372"/>
      <c r="G122" s="542" t="s">
        <v>311</v>
      </c>
      <c r="H122" s="853">
        <f t="shared" ca="1" si="3"/>
        <v>0</v>
      </c>
      <c r="I122" s="661" t="str">
        <f t="shared" ca="1" si="4"/>
        <v/>
      </c>
      <c r="J122" s="661" t="str">
        <f t="shared" ca="1" si="0"/>
        <v/>
      </c>
      <c r="K122" s="661" t="str">
        <f t="shared" ca="1" si="1"/>
        <v/>
      </c>
      <c r="L122" s="661" t="str">
        <f t="shared" ca="1" si="2"/>
        <v/>
      </c>
      <c r="M122" s="260"/>
      <c r="N122" s="273"/>
      <c r="O122" s="274"/>
    </row>
    <row r="123" spans="1:15" ht="13.95" customHeight="1" x14ac:dyDescent="0.25">
      <c r="A123" s="166"/>
      <c r="B123" s="269"/>
      <c r="C123" s="372"/>
      <c r="D123" s="542" t="s">
        <v>992</v>
      </c>
      <c r="E123" s="856">
        <f ca="1">VLOOKUP($D123,Data!$C$2:$H$384,6,FALSE)</f>
        <v>0</v>
      </c>
      <c r="F123" s="372"/>
      <c r="G123" s="542" t="s">
        <v>992</v>
      </c>
      <c r="H123" s="853">
        <f t="shared" ca="1" si="3"/>
        <v>0</v>
      </c>
      <c r="I123" s="661" t="str">
        <f t="shared" ca="1" si="4"/>
        <v/>
      </c>
      <c r="J123" s="661" t="str">
        <f t="shared" ca="1" si="0"/>
        <v/>
      </c>
      <c r="K123" s="661" t="str">
        <f t="shared" ca="1" si="1"/>
        <v/>
      </c>
      <c r="L123" s="661" t="str">
        <f t="shared" ca="1" si="2"/>
        <v/>
      </c>
      <c r="M123" s="260"/>
      <c r="N123" s="273"/>
      <c r="O123" s="274"/>
    </row>
    <row r="124" spans="1:15" ht="13.95" customHeight="1" x14ac:dyDescent="0.25">
      <c r="A124" s="166"/>
      <c r="B124" s="269"/>
      <c r="C124" s="372"/>
      <c r="D124" s="542" t="s">
        <v>2610</v>
      </c>
      <c r="E124" s="856">
        <f ca="1">VLOOKUP($D124,Data!$C$2:$H$384,6,FALSE)</f>
        <v>0</v>
      </c>
      <c r="F124" s="372"/>
      <c r="G124" s="542" t="s">
        <v>2610</v>
      </c>
      <c r="H124" s="853">
        <f t="shared" ca="1" si="3"/>
        <v>0</v>
      </c>
      <c r="I124" s="661" t="str">
        <f t="shared" ca="1" si="4"/>
        <v/>
      </c>
      <c r="J124" s="661" t="str">
        <f t="shared" ca="1" si="0"/>
        <v/>
      </c>
      <c r="K124" s="661" t="str">
        <f t="shared" ca="1" si="1"/>
        <v/>
      </c>
      <c r="L124" s="661" t="str">
        <f t="shared" ca="1" si="2"/>
        <v/>
      </c>
      <c r="M124" s="260"/>
      <c r="N124" s="273"/>
      <c r="O124" s="274"/>
    </row>
    <row r="125" spans="1:15" ht="13.95" customHeight="1" x14ac:dyDescent="0.25">
      <c r="A125" s="166"/>
      <c r="B125" s="269"/>
      <c r="C125" s="372"/>
      <c r="D125" s="542" t="s">
        <v>312</v>
      </c>
      <c r="E125" s="856">
        <f ca="1">VLOOKUP($D125,Data!$C$2:$H$384,6,FALSE)</f>
        <v>0</v>
      </c>
      <c r="F125" s="372"/>
      <c r="G125" s="542" t="s">
        <v>312</v>
      </c>
      <c r="H125" s="853">
        <f t="shared" ca="1" si="3"/>
        <v>0</v>
      </c>
      <c r="I125" s="661" t="str">
        <f t="shared" ca="1" si="4"/>
        <v/>
      </c>
      <c r="J125" s="661" t="str">
        <f t="shared" ca="1" si="0"/>
        <v/>
      </c>
      <c r="K125" s="661" t="str">
        <f t="shared" ca="1" si="1"/>
        <v/>
      </c>
      <c r="L125" s="661" t="str">
        <f t="shared" ca="1" si="2"/>
        <v/>
      </c>
      <c r="M125" s="260"/>
      <c r="N125" s="273"/>
      <c r="O125" s="274"/>
    </row>
    <row r="126" spans="1:15" ht="13.95" customHeight="1" x14ac:dyDescent="0.25">
      <c r="A126" s="166"/>
      <c r="B126" s="269"/>
      <c r="C126" s="372"/>
      <c r="D126" s="542" t="s">
        <v>313</v>
      </c>
      <c r="E126" s="856">
        <f ca="1">VLOOKUP($D126,Data!$C$2:$H$384,6,FALSE)</f>
        <v>0</v>
      </c>
      <c r="F126" s="372"/>
      <c r="G126" s="542" t="s">
        <v>313</v>
      </c>
      <c r="H126" s="853">
        <f t="shared" ca="1" si="3"/>
        <v>0</v>
      </c>
      <c r="I126" s="661" t="str">
        <f t="shared" ca="1" si="4"/>
        <v/>
      </c>
      <c r="J126" s="661" t="str">
        <f t="shared" ca="1" si="0"/>
        <v/>
      </c>
      <c r="K126" s="661" t="str">
        <f t="shared" ca="1" si="1"/>
        <v/>
      </c>
      <c r="L126" s="661" t="str">
        <f t="shared" ca="1" si="2"/>
        <v/>
      </c>
      <c r="M126" s="260"/>
      <c r="N126" s="273"/>
      <c r="O126" s="274"/>
    </row>
    <row r="127" spans="1:15" ht="13.95" customHeight="1" x14ac:dyDescent="0.25">
      <c r="A127" s="166"/>
      <c r="B127" s="269"/>
      <c r="C127" s="372"/>
      <c r="D127" s="542" t="s">
        <v>314</v>
      </c>
      <c r="E127" s="856">
        <f ca="1">VLOOKUP($D127,Data!$C$2:$H$384,6,FALSE)</f>
        <v>0</v>
      </c>
      <c r="F127" s="372"/>
      <c r="G127" s="542" t="s">
        <v>314</v>
      </c>
      <c r="H127" s="853">
        <f t="shared" ca="1" si="3"/>
        <v>0</v>
      </c>
      <c r="I127" s="661" t="str">
        <f t="shared" ca="1" si="4"/>
        <v/>
      </c>
      <c r="J127" s="661" t="str">
        <f t="shared" ca="1" si="0"/>
        <v/>
      </c>
      <c r="K127" s="661" t="str">
        <f t="shared" ca="1" si="1"/>
        <v/>
      </c>
      <c r="L127" s="661" t="str">
        <f t="shared" ca="1" si="2"/>
        <v/>
      </c>
      <c r="M127" s="260"/>
      <c r="N127" s="273"/>
      <c r="O127" s="274"/>
    </row>
    <row r="128" spans="1:15" ht="13.95" customHeight="1" x14ac:dyDescent="0.25">
      <c r="A128" s="166"/>
      <c r="B128" s="269"/>
      <c r="C128" s="372"/>
      <c r="D128" s="542" t="s">
        <v>993</v>
      </c>
      <c r="E128" s="856">
        <f ca="1">VLOOKUP($D128,Data!$C$2:$H$384,6,FALSE)</f>
        <v>0</v>
      </c>
      <c r="F128" s="372"/>
      <c r="G128" s="542" t="s">
        <v>993</v>
      </c>
      <c r="H128" s="853">
        <f t="shared" ca="1" si="3"/>
        <v>0</v>
      </c>
      <c r="I128" s="661" t="str">
        <f t="shared" ca="1" si="4"/>
        <v/>
      </c>
      <c r="J128" s="661" t="str">
        <f t="shared" ca="1" si="0"/>
        <v/>
      </c>
      <c r="K128" s="661" t="str">
        <f t="shared" ca="1" si="1"/>
        <v/>
      </c>
      <c r="L128" s="661" t="str">
        <f t="shared" ca="1" si="2"/>
        <v/>
      </c>
      <c r="M128" s="260"/>
      <c r="N128" s="273"/>
      <c r="O128" s="274"/>
    </row>
    <row r="129" spans="1:15" ht="13.95" customHeight="1" x14ac:dyDescent="0.25">
      <c r="A129" s="166"/>
      <c r="B129" s="269"/>
      <c r="C129" s="372"/>
      <c r="D129" s="542" t="s">
        <v>994</v>
      </c>
      <c r="E129" s="856">
        <f ca="1">VLOOKUP($D129,Data!$C$2:$H$384,6,FALSE)</f>
        <v>0</v>
      </c>
      <c r="F129" s="372"/>
      <c r="G129" s="542" t="s">
        <v>994</v>
      </c>
      <c r="H129" s="853">
        <f t="shared" ca="1" si="3"/>
        <v>0</v>
      </c>
      <c r="I129" s="661" t="str">
        <f t="shared" ca="1" si="4"/>
        <v/>
      </c>
      <c r="J129" s="661" t="str">
        <f t="shared" ca="1" si="0"/>
        <v/>
      </c>
      <c r="K129" s="661" t="str">
        <f t="shared" ca="1" si="1"/>
        <v/>
      </c>
      <c r="L129" s="661" t="str">
        <f t="shared" ca="1" si="2"/>
        <v/>
      </c>
      <c r="M129" s="260"/>
      <c r="N129" s="273"/>
      <c r="O129" s="274"/>
    </row>
    <row r="130" spans="1:15" ht="13.95" customHeight="1" x14ac:dyDescent="0.25">
      <c r="A130" s="166"/>
      <c r="B130" s="269"/>
      <c r="C130" s="372"/>
      <c r="D130" s="542" t="s">
        <v>995</v>
      </c>
      <c r="E130" s="856">
        <f ca="1">VLOOKUP($D130,Data!$C$2:$H$384,6,FALSE)</f>
        <v>0</v>
      </c>
      <c r="F130" s="372"/>
      <c r="G130" s="542" t="s">
        <v>995</v>
      </c>
      <c r="H130" s="853">
        <f t="shared" ca="1" si="3"/>
        <v>0</v>
      </c>
      <c r="I130" s="661" t="str">
        <f t="shared" ca="1" si="4"/>
        <v/>
      </c>
      <c r="J130" s="661" t="str">
        <f t="shared" ca="1" si="0"/>
        <v/>
      </c>
      <c r="K130" s="661" t="str">
        <f t="shared" ca="1" si="1"/>
        <v/>
      </c>
      <c r="L130" s="661" t="str">
        <f t="shared" ca="1" si="2"/>
        <v/>
      </c>
      <c r="M130" s="260"/>
      <c r="N130" s="273"/>
      <c r="O130" s="274"/>
    </row>
    <row r="131" spans="1:15" ht="13.95" customHeight="1" x14ac:dyDescent="0.25">
      <c r="A131" s="166"/>
      <c r="B131" s="269"/>
      <c r="C131" s="372"/>
      <c r="D131" s="542" t="s">
        <v>996</v>
      </c>
      <c r="E131" s="856">
        <f ca="1">VLOOKUP($D131,Data!$C$2:$H$384,6,FALSE)</f>
        <v>0</v>
      </c>
      <c r="F131" s="372"/>
      <c r="G131" s="542" t="s">
        <v>996</v>
      </c>
      <c r="H131" s="853">
        <f t="shared" ca="1" si="3"/>
        <v>0</v>
      </c>
      <c r="I131" s="661" t="str">
        <f t="shared" ca="1" si="4"/>
        <v/>
      </c>
      <c r="J131" s="661" t="str">
        <f t="shared" ca="1" si="0"/>
        <v/>
      </c>
      <c r="K131" s="661" t="str">
        <f t="shared" ca="1" si="1"/>
        <v/>
      </c>
      <c r="L131" s="661" t="str">
        <f t="shared" ca="1" si="2"/>
        <v/>
      </c>
      <c r="M131" s="260"/>
      <c r="N131" s="273"/>
      <c r="O131" s="274"/>
    </row>
    <row r="132" spans="1:15" ht="13.95" customHeight="1" x14ac:dyDescent="0.25">
      <c r="A132" s="166"/>
      <c r="B132" s="269"/>
      <c r="C132" s="372"/>
      <c r="D132" s="542" t="s">
        <v>997</v>
      </c>
      <c r="E132" s="856">
        <f ca="1">VLOOKUP($D132,Data!$C$2:$H$384,6,FALSE)</f>
        <v>0</v>
      </c>
      <c r="F132" s="372"/>
      <c r="G132" s="542" t="s">
        <v>997</v>
      </c>
      <c r="H132" s="853">
        <f t="shared" ca="1" si="3"/>
        <v>0</v>
      </c>
      <c r="I132" s="661" t="str">
        <f t="shared" ca="1" si="4"/>
        <v/>
      </c>
      <c r="J132" s="661" t="str">
        <f t="shared" ca="1" si="0"/>
        <v/>
      </c>
      <c r="K132" s="661" t="str">
        <f t="shared" ca="1" si="1"/>
        <v/>
      </c>
      <c r="L132" s="661" t="str">
        <f t="shared" ca="1" si="2"/>
        <v/>
      </c>
      <c r="M132" s="260"/>
      <c r="N132" s="273"/>
      <c r="O132" s="274"/>
    </row>
    <row r="133" spans="1:15" ht="13.95" customHeight="1" x14ac:dyDescent="0.25">
      <c r="A133" s="166"/>
      <c r="B133" s="269"/>
      <c r="C133" s="372"/>
      <c r="D133" s="542" t="s">
        <v>998</v>
      </c>
      <c r="E133" s="856">
        <f ca="1">VLOOKUP($D133,Data!$C$2:$H$384,6,FALSE)</f>
        <v>0</v>
      </c>
      <c r="F133" s="372"/>
      <c r="G133" s="542" t="s">
        <v>998</v>
      </c>
      <c r="H133" s="853">
        <f t="shared" ca="1" si="3"/>
        <v>0</v>
      </c>
      <c r="I133" s="661" t="str">
        <f t="shared" ca="1" si="4"/>
        <v/>
      </c>
      <c r="J133" s="661" t="str">
        <f t="shared" ca="1" si="0"/>
        <v/>
      </c>
      <c r="K133" s="661" t="str">
        <f t="shared" ca="1" si="1"/>
        <v/>
      </c>
      <c r="L133" s="661" t="str">
        <f t="shared" ca="1" si="2"/>
        <v/>
      </c>
      <c r="M133" s="260"/>
      <c r="N133" s="273"/>
      <c r="O133" s="274"/>
    </row>
    <row r="134" spans="1:15" ht="13.95" customHeight="1" x14ac:dyDescent="0.25">
      <c r="A134" s="166"/>
      <c r="B134" s="269"/>
      <c r="C134" s="372"/>
      <c r="D134" s="542" t="s">
        <v>999</v>
      </c>
      <c r="E134" s="856">
        <f ca="1">VLOOKUP($D134,Data!$C$2:$H$384,6,FALSE)</f>
        <v>0</v>
      </c>
      <c r="F134" s="372"/>
      <c r="G134" s="542" t="s">
        <v>999</v>
      </c>
      <c r="H134" s="853">
        <f t="shared" ca="1" si="3"/>
        <v>0</v>
      </c>
      <c r="I134" s="661" t="str">
        <f t="shared" ca="1" si="4"/>
        <v/>
      </c>
      <c r="J134" s="661" t="str">
        <f t="shared" ca="1" si="0"/>
        <v/>
      </c>
      <c r="K134" s="661" t="str">
        <f t="shared" ca="1" si="1"/>
        <v/>
      </c>
      <c r="L134" s="661" t="str">
        <f t="shared" ca="1" si="2"/>
        <v/>
      </c>
      <c r="M134" s="260"/>
      <c r="N134" s="273"/>
      <c r="O134" s="274"/>
    </row>
    <row r="135" spans="1:15" ht="13.95" customHeight="1" x14ac:dyDescent="0.25">
      <c r="A135" s="166"/>
      <c r="B135" s="269"/>
      <c r="C135" s="372"/>
      <c r="D135" s="542" t="s">
        <v>1000</v>
      </c>
      <c r="E135" s="856">
        <f ca="1">VLOOKUP($D135,Data!$C$2:$H$384,6,FALSE)</f>
        <v>0</v>
      </c>
      <c r="F135" s="372"/>
      <c r="G135" s="542" t="s">
        <v>1000</v>
      </c>
      <c r="H135" s="853">
        <f t="shared" ca="1" si="3"/>
        <v>0</v>
      </c>
      <c r="I135" s="661" t="str">
        <f t="shared" ca="1" si="4"/>
        <v/>
      </c>
      <c r="J135" s="661" t="str">
        <f t="shared" ca="1" si="0"/>
        <v/>
      </c>
      <c r="K135" s="661" t="str">
        <f t="shared" ca="1" si="1"/>
        <v/>
      </c>
      <c r="L135" s="661" t="str">
        <f t="shared" ca="1" si="2"/>
        <v/>
      </c>
      <c r="M135" s="260"/>
      <c r="N135" s="273"/>
      <c r="O135" s="274"/>
    </row>
    <row r="136" spans="1:15" ht="13.95" customHeight="1" x14ac:dyDescent="0.25">
      <c r="A136" s="166"/>
      <c r="B136" s="269"/>
      <c r="C136" s="372"/>
      <c r="D136" s="542" t="s">
        <v>1001</v>
      </c>
      <c r="E136" s="856">
        <f ca="1">VLOOKUP($D136,Data!$C$2:$H$384,6,FALSE)</f>
        <v>0</v>
      </c>
      <c r="F136" s="372"/>
      <c r="G136" s="542" t="s">
        <v>1001</v>
      </c>
      <c r="H136" s="853">
        <f t="shared" ca="1" si="3"/>
        <v>0</v>
      </c>
      <c r="I136" s="661" t="str">
        <f t="shared" ca="1" si="4"/>
        <v/>
      </c>
      <c r="J136" s="661" t="str">
        <f t="shared" ca="1" si="0"/>
        <v/>
      </c>
      <c r="K136" s="661" t="str">
        <f t="shared" ca="1" si="1"/>
        <v/>
      </c>
      <c r="L136" s="661" t="str">
        <f t="shared" ca="1" si="2"/>
        <v/>
      </c>
      <c r="M136" s="260"/>
      <c r="N136" s="273"/>
      <c r="O136" s="274"/>
    </row>
    <row r="137" spans="1:15" ht="13.95" customHeight="1" x14ac:dyDescent="0.25">
      <c r="A137" s="166"/>
      <c r="B137" s="269"/>
      <c r="C137" s="372"/>
      <c r="D137" s="542" t="s">
        <v>315</v>
      </c>
      <c r="E137" s="856">
        <f ca="1">VLOOKUP($D137,Data!$C$2:$H$384,6,FALSE)</f>
        <v>0</v>
      </c>
      <c r="F137" s="372"/>
      <c r="G137" s="542" t="s">
        <v>315</v>
      </c>
      <c r="H137" s="853">
        <f t="shared" ca="1" si="3"/>
        <v>0</v>
      </c>
      <c r="I137" s="661" t="str">
        <f t="shared" ca="1" si="4"/>
        <v/>
      </c>
      <c r="J137" s="661" t="str">
        <f t="shared" ca="1" si="0"/>
        <v/>
      </c>
      <c r="K137" s="661" t="str">
        <f t="shared" ca="1" si="1"/>
        <v/>
      </c>
      <c r="L137" s="661" t="str">
        <f t="shared" ca="1" si="2"/>
        <v/>
      </c>
      <c r="M137" s="260"/>
      <c r="N137" s="273"/>
      <c r="O137" s="274"/>
    </row>
    <row r="138" spans="1:15" ht="13.95" customHeight="1" x14ac:dyDescent="0.25">
      <c r="A138" s="166"/>
      <c r="B138" s="269"/>
      <c r="C138" s="372"/>
      <c r="D138" s="542" t="s">
        <v>316</v>
      </c>
      <c r="E138" s="856">
        <f ca="1">VLOOKUP($D138,Data!$C$2:$H$384,6,FALSE)</f>
        <v>0</v>
      </c>
      <c r="F138" s="372"/>
      <c r="G138" s="542" t="s">
        <v>316</v>
      </c>
      <c r="H138" s="853">
        <f t="shared" ca="1" si="3"/>
        <v>0</v>
      </c>
      <c r="I138" s="661" t="str">
        <f t="shared" ca="1" si="4"/>
        <v/>
      </c>
      <c r="J138" s="661" t="str">
        <f t="shared" ca="1" si="0"/>
        <v/>
      </c>
      <c r="K138" s="661" t="str">
        <f t="shared" ca="1" si="1"/>
        <v/>
      </c>
      <c r="L138" s="661" t="str">
        <f t="shared" ca="1" si="2"/>
        <v/>
      </c>
      <c r="M138" s="260"/>
      <c r="N138" s="273"/>
      <c r="O138" s="274"/>
    </row>
    <row r="139" spans="1:15" ht="13.95" customHeight="1" x14ac:dyDescent="0.25">
      <c r="A139" s="166"/>
      <c r="B139" s="269"/>
      <c r="C139" s="372"/>
      <c r="D139" s="542" t="s">
        <v>317</v>
      </c>
      <c r="E139" s="856">
        <f ca="1">VLOOKUP($D139,Data!$C$2:$H$384,6,FALSE)</f>
        <v>0</v>
      </c>
      <c r="F139" s="372"/>
      <c r="G139" s="542" t="s">
        <v>317</v>
      </c>
      <c r="H139" s="853">
        <f t="shared" ca="1" si="3"/>
        <v>0</v>
      </c>
      <c r="I139" s="661" t="str">
        <f t="shared" ca="1" si="4"/>
        <v/>
      </c>
      <c r="J139" s="661" t="str">
        <f t="shared" ca="1" si="0"/>
        <v/>
      </c>
      <c r="K139" s="661" t="str">
        <f t="shared" ca="1" si="1"/>
        <v/>
      </c>
      <c r="L139" s="661" t="str">
        <f t="shared" ca="1" si="2"/>
        <v/>
      </c>
      <c r="M139" s="260"/>
      <c r="N139" s="273"/>
      <c r="O139" s="274"/>
    </row>
    <row r="140" spans="1:15" ht="13.95" customHeight="1" x14ac:dyDescent="0.25">
      <c r="A140" s="166"/>
      <c r="B140" s="269"/>
      <c r="C140" s="372"/>
      <c r="D140" s="542" t="s">
        <v>318</v>
      </c>
      <c r="E140" s="856">
        <f ca="1">VLOOKUP($D140,Data!$C$2:$H$384,6,FALSE)</f>
        <v>0</v>
      </c>
      <c r="F140" s="372"/>
      <c r="G140" s="542" t="s">
        <v>318</v>
      </c>
      <c r="H140" s="853">
        <f t="shared" ca="1" si="3"/>
        <v>0</v>
      </c>
      <c r="I140" s="661" t="str">
        <f t="shared" ca="1" si="4"/>
        <v/>
      </c>
      <c r="J140" s="661" t="str">
        <f t="shared" ca="1" si="0"/>
        <v/>
      </c>
      <c r="K140" s="661" t="str">
        <f t="shared" ca="1" si="1"/>
        <v/>
      </c>
      <c r="L140" s="661" t="str">
        <f t="shared" ca="1" si="2"/>
        <v/>
      </c>
      <c r="M140" s="260"/>
      <c r="N140" s="273"/>
      <c r="O140" s="274"/>
    </row>
    <row r="141" spans="1:15" ht="13.95" customHeight="1" x14ac:dyDescent="0.25">
      <c r="A141" s="166"/>
      <c r="B141" s="269"/>
      <c r="C141" s="372"/>
      <c r="D141" s="542" t="s">
        <v>1002</v>
      </c>
      <c r="E141" s="856">
        <f ca="1">VLOOKUP($D141,Data!$C$2:$H$384,6,FALSE)</f>
        <v>0</v>
      </c>
      <c r="F141" s="372"/>
      <c r="G141" s="542" t="s">
        <v>1002</v>
      </c>
      <c r="H141" s="853">
        <f t="shared" ca="1" si="3"/>
        <v>0</v>
      </c>
      <c r="I141" s="661" t="str">
        <f t="shared" ca="1" si="4"/>
        <v/>
      </c>
      <c r="J141" s="661" t="str">
        <f t="shared" ca="1" si="0"/>
        <v/>
      </c>
      <c r="K141" s="661" t="str">
        <f t="shared" ca="1" si="1"/>
        <v/>
      </c>
      <c r="L141" s="661" t="str">
        <f t="shared" ca="1" si="2"/>
        <v/>
      </c>
      <c r="M141" s="260"/>
      <c r="N141" s="273"/>
      <c r="O141" s="274"/>
    </row>
    <row r="142" spans="1:15" ht="13.95" customHeight="1" x14ac:dyDescent="0.25">
      <c r="A142" s="166"/>
      <c r="B142" s="269"/>
      <c r="C142" s="372"/>
      <c r="D142" s="542" t="s">
        <v>1003</v>
      </c>
      <c r="E142" s="856">
        <f ca="1">VLOOKUP($D142,Data!$C$2:$H$384,6,FALSE)</f>
        <v>0</v>
      </c>
      <c r="F142" s="372"/>
      <c r="G142" s="542" t="s">
        <v>1003</v>
      </c>
      <c r="H142" s="853">
        <f t="shared" ca="1" si="3"/>
        <v>0</v>
      </c>
      <c r="I142" s="661" t="str">
        <f t="shared" ca="1" si="4"/>
        <v/>
      </c>
      <c r="J142" s="661" t="str">
        <f t="shared" ca="1" si="0"/>
        <v/>
      </c>
      <c r="K142" s="661" t="str">
        <f t="shared" ca="1" si="1"/>
        <v/>
      </c>
      <c r="L142" s="661" t="str">
        <f t="shared" ca="1" si="2"/>
        <v/>
      </c>
      <c r="M142" s="260"/>
      <c r="N142" s="273"/>
      <c r="O142" s="274"/>
    </row>
    <row r="143" spans="1:15" ht="13.95" customHeight="1" x14ac:dyDescent="0.25">
      <c r="A143" s="166"/>
      <c r="B143" s="269"/>
      <c r="C143" s="372"/>
      <c r="D143" s="542" t="s">
        <v>1004</v>
      </c>
      <c r="E143" s="856">
        <f ca="1">VLOOKUP($D143,Data!$C$2:$H$384,6,FALSE)</f>
        <v>0</v>
      </c>
      <c r="F143" s="372"/>
      <c r="G143" s="542" t="s">
        <v>1004</v>
      </c>
      <c r="H143" s="853">
        <f t="shared" ca="1" si="3"/>
        <v>0</v>
      </c>
      <c r="I143" s="661" t="str">
        <f t="shared" ref="I143:I206" ca="1" si="5">IF(VLOOKUP(RIGHT($G143,LEN($G143)-FIND("-",$G143)), INDIRECT("'"&amp;LEFT($G143,FIND("-",$G143)-1)&amp;"'!"&amp;"$D:$K"), 5,FALSE) = 0, "",
VLOOKUP(RIGHT($G143,LEN($G143)-FIND("-",$G143)), INDIRECT("'"&amp;LEFT($G143,FIND("-",$G143)-1)&amp;"'!"&amp;"$D:$K"), 5,FALSE) )</f>
        <v/>
      </c>
      <c r="J143" s="661" t="str">
        <f t="shared" ref="J143:J206" ca="1" si="6">IF(VLOOKUP(RIGHT($G143,LEN($G143)-FIND("-",$G143)), INDIRECT("'"&amp;LEFT($G143,FIND("-",$G143)-1)&amp;"'!"&amp;"$D:$K"), 6,FALSE) = 0, "",
VLOOKUP(RIGHT($G143,LEN($G143)-FIND("-",$G143)), INDIRECT("'"&amp;LEFT($G143,FIND("-",$G143)-1)&amp;"'!"&amp;"$D:$K"), 6,FALSE) )</f>
        <v/>
      </c>
      <c r="K143" s="661" t="str">
        <f t="shared" ref="K143:K206" ca="1" si="7">IF(VLOOKUP(RIGHT($G143,LEN($G143)-FIND("-",$G143)), INDIRECT("'"&amp;LEFT($G143,FIND("-",$G143)-1)&amp;"'!"&amp;"$D:$K"), 7,FALSE) = 0, "",
VLOOKUP(RIGHT($G143,LEN($G143)-FIND("-",$G143)), INDIRECT("'"&amp;LEFT($G143,FIND("-",$G143)-1)&amp;"'!"&amp;"$D:$K"), 7,FALSE) )</f>
        <v/>
      </c>
      <c r="L143" s="661" t="str">
        <f t="shared" ref="L143:L206" ca="1" si="8">IF(VLOOKUP(RIGHT($G143,LEN($G143)-FIND("-",$G143)), INDIRECT("'"&amp;LEFT($G143,FIND("-",$G143)-1)&amp;"'!"&amp;"$D:$K"), 8,FALSE) = 0, "",
VLOOKUP(RIGHT($G143,LEN($G143)-FIND("-",$G143)), INDIRECT("'"&amp;LEFT($G143,FIND("-",$G143)-1)&amp;"'!"&amp;"$D:$K"), 8,FALSE) )</f>
        <v/>
      </c>
      <c r="M143" s="260"/>
      <c r="N143" s="273"/>
      <c r="O143" s="274"/>
    </row>
    <row r="144" spans="1:15" ht="13.95" customHeight="1" x14ac:dyDescent="0.25">
      <c r="A144" s="166"/>
      <c r="B144" s="269"/>
      <c r="C144" s="372"/>
      <c r="D144" s="542" t="s">
        <v>1005</v>
      </c>
      <c r="E144" s="856">
        <f ca="1">VLOOKUP($D144,Data!$C$2:$H$384,6,FALSE)</f>
        <v>0</v>
      </c>
      <c r="F144" s="372"/>
      <c r="G144" s="542" t="s">
        <v>1005</v>
      </c>
      <c r="H144" s="853">
        <f t="shared" ref="H144:H207" ca="1" si="9">INT(LEFT(
VLOOKUP(RIGHT($G144,LEN($G144)-FIND("-",$G144)), INDIRECT("'"&amp;LEFT($G144,FIND("-",$G144)-1)&amp;"'!"&amp;"$D:$K"), 4,FALSE), 1)
)</f>
        <v>0</v>
      </c>
      <c r="I144" s="661" t="str">
        <f t="shared" ca="1" si="5"/>
        <v/>
      </c>
      <c r="J144" s="661" t="str">
        <f t="shared" ca="1" si="6"/>
        <v/>
      </c>
      <c r="K144" s="661" t="str">
        <f t="shared" ca="1" si="7"/>
        <v/>
      </c>
      <c r="L144" s="661" t="str">
        <f t="shared" ca="1" si="8"/>
        <v/>
      </c>
      <c r="M144" s="260"/>
      <c r="N144" s="273"/>
      <c r="O144" s="274"/>
    </row>
    <row r="145" spans="1:15" ht="13.95" customHeight="1" x14ac:dyDescent="0.25">
      <c r="A145" s="166"/>
      <c r="B145" s="269"/>
      <c r="C145" s="372"/>
      <c r="D145" s="542" t="s">
        <v>1006</v>
      </c>
      <c r="E145" s="856">
        <f ca="1">VLOOKUP($D145,Data!$C$2:$H$384,6,FALSE)</f>
        <v>0</v>
      </c>
      <c r="F145" s="372"/>
      <c r="G145" s="542" t="s">
        <v>1006</v>
      </c>
      <c r="H145" s="853">
        <f t="shared" ca="1" si="9"/>
        <v>0</v>
      </c>
      <c r="I145" s="661" t="str">
        <f t="shared" ca="1" si="5"/>
        <v/>
      </c>
      <c r="J145" s="661" t="str">
        <f t="shared" ca="1" si="6"/>
        <v/>
      </c>
      <c r="K145" s="661" t="str">
        <f t="shared" ca="1" si="7"/>
        <v/>
      </c>
      <c r="L145" s="661" t="str">
        <f t="shared" ca="1" si="8"/>
        <v/>
      </c>
      <c r="M145" s="260"/>
      <c r="N145" s="273"/>
      <c r="O145" s="274"/>
    </row>
    <row r="146" spans="1:15" ht="13.95" customHeight="1" x14ac:dyDescent="0.25">
      <c r="A146" s="166"/>
      <c r="B146" s="269"/>
      <c r="C146" s="372"/>
      <c r="D146" s="542" t="s">
        <v>1007</v>
      </c>
      <c r="E146" s="856">
        <f ca="1">VLOOKUP($D146,Data!$C$2:$H$384,6,FALSE)</f>
        <v>0</v>
      </c>
      <c r="F146" s="372"/>
      <c r="G146" s="542" t="s">
        <v>1007</v>
      </c>
      <c r="H146" s="853">
        <f t="shared" ca="1" si="9"/>
        <v>0</v>
      </c>
      <c r="I146" s="661" t="str">
        <f t="shared" ca="1" si="5"/>
        <v/>
      </c>
      <c r="J146" s="661" t="str">
        <f t="shared" ca="1" si="6"/>
        <v/>
      </c>
      <c r="K146" s="661" t="str">
        <f t="shared" ca="1" si="7"/>
        <v/>
      </c>
      <c r="L146" s="661" t="str">
        <f t="shared" ca="1" si="8"/>
        <v/>
      </c>
      <c r="M146" s="260"/>
      <c r="N146" s="273"/>
      <c r="O146" s="274"/>
    </row>
    <row r="147" spans="1:15" ht="13.95" customHeight="1" x14ac:dyDescent="0.25">
      <c r="A147" s="166"/>
      <c r="B147" s="269"/>
      <c r="C147" s="372"/>
      <c r="D147" s="542" t="s">
        <v>2611</v>
      </c>
      <c r="E147" s="856">
        <f ca="1">VLOOKUP($D147,Data!$C$2:$H$384,6,FALSE)</f>
        <v>0</v>
      </c>
      <c r="F147" s="372"/>
      <c r="G147" s="542" t="s">
        <v>2611</v>
      </c>
      <c r="H147" s="853">
        <f t="shared" ca="1" si="9"/>
        <v>0</v>
      </c>
      <c r="I147" s="661" t="str">
        <f t="shared" ca="1" si="5"/>
        <v/>
      </c>
      <c r="J147" s="661" t="str">
        <f t="shared" ca="1" si="6"/>
        <v/>
      </c>
      <c r="K147" s="661" t="str">
        <f t="shared" ca="1" si="7"/>
        <v/>
      </c>
      <c r="L147" s="661" t="str">
        <f t="shared" ca="1" si="8"/>
        <v/>
      </c>
      <c r="M147" s="260"/>
      <c r="N147" s="273"/>
      <c r="O147" s="274"/>
    </row>
    <row r="148" spans="1:15" ht="13.95" customHeight="1" x14ac:dyDescent="0.25">
      <c r="A148" s="166"/>
      <c r="B148" s="269"/>
      <c r="C148" s="372"/>
      <c r="D148" s="542" t="s">
        <v>2612</v>
      </c>
      <c r="E148" s="856">
        <f ca="1">VLOOKUP($D148,Data!$C$2:$H$384,6,FALSE)</f>
        <v>0</v>
      </c>
      <c r="F148" s="372"/>
      <c r="G148" s="542" t="s">
        <v>2612</v>
      </c>
      <c r="H148" s="853">
        <f t="shared" ca="1" si="9"/>
        <v>0</v>
      </c>
      <c r="I148" s="661" t="str">
        <f t="shared" ca="1" si="5"/>
        <v/>
      </c>
      <c r="J148" s="661" t="str">
        <f t="shared" ca="1" si="6"/>
        <v/>
      </c>
      <c r="K148" s="661" t="str">
        <f t="shared" ca="1" si="7"/>
        <v/>
      </c>
      <c r="L148" s="661" t="str">
        <f t="shared" ca="1" si="8"/>
        <v/>
      </c>
      <c r="M148" s="260"/>
      <c r="N148" s="273"/>
      <c r="O148" s="274"/>
    </row>
    <row r="149" spans="1:15" ht="13.95" customHeight="1" x14ac:dyDescent="0.25">
      <c r="A149" s="166"/>
      <c r="B149" s="269"/>
      <c r="C149" s="372"/>
      <c r="D149" s="542" t="s">
        <v>2613</v>
      </c>
      <c r="E149" s="856">
        <f ca="1">VLOOKUP($D149,Data!$C$2:$H$384,6,FALSE)</f>
        <v>0</v>
      </c>
      <c r="F149" s="372"/>
      <c r="G149" s="542" t="s">
        <v>2613</v>
      </c>
      <c r="H149" s="853">
        <f t="shared" ca="1" si="9"/>
        <v>0</v>
      </c>
      <c r="I149" s="661" t="str">
        <f t="shared" ca="1" si="5"/>
        <v/>
      </c>
      <c r="J149" s="661" t="str">
        <f t="shared" ca="1" si="6"/>
        <v/>
      </c>
      <c r="K149" s="661" t="str">
        <f t="shared" ca="1" si="7"/>
        <v/>
      </c>
      <c r="L149" s="661" t="str">
        <f t="shared" ca="1" si="8"/>
        <v/>
      </c>
      <c r="M149" s="260"/>
      <c r="N149" s="273"/>
      <c r="O149" s="274"/>
    </row>
    <row r="150" spans="1:15" ht="13.95" customHeight="1" x14ac:dyDescent="0.25">
      <c r="A150" s="166"/>
      <c r="B150" s="269"/>
      <c r="C150" s="372"/>
      <c r="D150" s="542" t="s">
        <v>319</v>
      </c>
      <c r="E150" s="856">
        <f ca="1">VLOOKUP($D150,Data!$C$2:$H$384,6,FALSE)</f>
        <v>0</v>
      </c>
      <c r="F150" s="372"/>
      <c r="G150" s="542" t="s">
        <v>319</v>
      </c>
      <c r="H150" s="853">
        <f t="shared" ca="1" si="9"/>
        <v>0</v>
      </c>
      <c r="I150" s="661" t="str">
        <f t="shared" ca="1" si="5"/>
        <v/>
      </c>
      <c r="J150" s="661" t="str">
        <f t="shared" ca="1" si="6"/>
        <v/>
      </c>
      <c r="K150" s="661" t="str">
        <f t="shared" ca="1" si="7"/>
        <v/>
      </c>
      <c r="L150" s="661" t="str">
        <f t="shared" ca="1" si="8"/>
        <v/>
      </c>
      <c r="M150" s="260"/>
      <c r="N150" s="273"/>
      <c r="O150" s="274"/>
    </row>
    <row r="151" spans="1:15" ht="13.95" customHeight="1" x14ac:dyDescent="0.25">
      <c r="A151" s="166"/>
      <c r="B151" s="269"/>
      <c r="C151" s="372"/>
      <c r="D151" s="542" t="s">
        <v>320</v>
      </c>
      <c r="E151" s="856">
        <f ca="1">VLOOKUP($D151,Data!$C$2:$H$384,6,FALSE)</f>
        <v>0</v>
      </c>
      <c r="F151" s="372"/>
      <c r="G151" s="542" t="s">
        <v>320</v>
      </c>
      <c r="H151" s="853">
        <f t="shared" ca="1" si="9"/>
        <v>0</v>
      </c>
      <c r="I151" s="661" t="str">
        <f t="shared" ca="1" si="5"/>
        <v/>
      </c>
      <c r="J151" s="661" t="str">
        <f t="shared" ca="1" si="6"/>
        <v/>
      </c>
      <c r="K151" s="661" t="str">
        <f t="shared" ca="1" si="7"/>
        <v/>
      </c>
      <c r="L151" s="661" t="str">
        <f t="shared" ca="1" si="8"/>
        <v/>
      </c>
      <c r="M151" s="260"/>
      <c r="N151" s="273"/>
      <c r="O151" s="274"/>
    </row>
    <row r="152" spans="1:15" ht="13.95" customHeight="1" x14ac:dyDescent="0.25">
      <c r="A152" s="166"/>
      <c r="B152" s="269"/>
      <c r="C152" s="372"/>
      <c r="D152" s="542" t="s">
        <v>321</v>
      </c>
      <c r="E152" s="856">
        <f ca="1">VLOOKUP($D152,Data!$C$2:$H$384,6,FALSE)</f>
        <v>0</v>
      </c>
      <c r="F152" s="372"/>
      <c r="G152" s="542" t="s">
        <v>321</v>
      </c>
      <c r="H152" s="853">
        <f t="shared" ca="1" si="9"/>
        <v>0</v>
      </c>
      <c r="I152" s="661" t="str">
        <f t="shared" ca="1" si="5"/>
        <v/>
      </c>
      <c r="J152" s="661" t="str">
        <f t="shared" ca="1" si="6"/>
        <v/>
      </c>
      <c r="K152" s="661" t="str">
        <f t="shared" ca="1" si="7"/>
        <v/>
      </c>
      <c r="L152" s="661" t="str">
        <f t="shared" ca="1" si="8"/>
        <v/>
      </c>
      <c r="M152" s="260"/>
      <c r="N152" s="273"/>
      <c r="O152" s="274"/>
    </row>
    <row r="153" spans="1:15" ht="13.95" customHeight="1" x14ac:dyDescent="0.25">
      <c r="A153" s="166"/>
      <c r="B153" s="269"/>
      <c r="C153" s="372"/>
      <c r="D153" s="542" t="s">
        <v>322</v>
      </c>
      <c r="E153" s="856">
        <f ca="1">VLOOKUP($D153,Data!$C$2:$H$384,6,FALSE)</f>
        <v>0</v>
      </c>
      <c r="F153" s="372"/>
      <c r="G153" s="542" t="s">
        <v>322</v>
      </c>
      <c r="H153" s="853">
        <f t="shared" ca="1" si="9"/>
        <v>0</v>
      </c>
      <c r="I153" s="661" t="str">
        <f t="shared" ca="1" si="5"/>
        <v/>
      </c>
      <c r="J153" s="661" t="str">
        <f t="shared" ca="1" si="6"/>
        <v/>
      </c>
      <c r="K153" s="661" t="str">
        <f t="shared" ca="1" si="7"/>
        <v/>
      </c>
      <c r="L153" s="661" t="str">
        <f t="shared" ca="1" si="8"/>
        <v/>
      </c>
      <c r="M153" s="260"/>
      <c r="N153" s="273"/>
      <c r="O153" s="274"/>
    </row>
    <row r="154" spans="1:15" ht="13.95" customHeight="1" x14ac:dyDescent="0.25">
      <c r="A154" s="166"/>
      <c r="B154" s="269"/>
      <c r="C154" s="372"/>
      <c r="D154" s="542" t="s">
        <v>323</v>
      </c>
      <c r="E154" s="856">
        <f ca="1">VLOOKUP($D154,Data!$C$2:$H$384,6,FALSE)</f>
        <v>0</v>
      </c>
      <c r="F154" s="372"/>
      <c r="G154" s="542" t="s">
        <v>323</v>
      </c>
      <c r="H154" s="853">
        <f t="shared" ca="1" si="9"/>
        <v>0</v>
      </c>
      <c r="I154" s="661" t="str">
        <f t="shared" ca="1" si="5"/>
        <v/>
      </c>
      <c r="J154" s="661" t="str">
        <f t="shared" ca="1" si="6"/>
        <v/>
      </c>
      <c r="K154" s="661" t="str">
        <f t="shared" ca="1" si="7"/>
        <v/>
      </c>
      <c r="L154" s="661" t="str">
        <f t="shared" ca="1" si="8"/>
        <v/>
      </c>
      <c r="M154" s="260"/>
      <c r="N154" s="273"/>
      <c r="O154" s="274"/>
    </row>
    <row r="155" spans="1:15" ht="13.95" customHeight="1" x14ac:dyDescent="0.25">
      <c r="A155" s="166"/>
      <c r="B155" s="269"/>
      <c r="C155" s="372"/>
      <c r="D155" s="542" t="s">
        <v>324</v>
      </c>
      <c r="E155" s="856">
        <f ca="1">VLOOKUP($D155,Data!$C$2:$H$384,6,FALSE)</f>
        <v>0</v>
      </c>
      <c r="F155" s="372"/>
      <c r="G155" s="542" t="s">
        <v>324</v>
      </c>
      <c r="H155" s="853">
        <f t="shared" ca="1" si="9"/>
        <v>0</v>
      </c>
      <c r="I155" s="661" t="str">
        <f t="shared" ca="1" si="5"/>
        <v/>
      </c>
      <c r="J155" s="661" t="str">
        <f t="shared" ca="1" si="6"/>
        <v/>
      </c>
      <c r="K155" s="661" t="str">
        <f t="shared" ca="1" si="7"/>
        <v/>
      </c>
      <c r="L155" s="661" t="str">
        <f t="shared" ca="1" si="8"/>
        <v/>
      </c>
      <c r="M155" s="260"/>
      <c r="N155" s="273"/>
      <c r="O155" s="274"/>
    </row>
    <row r="156" spans="1:15" ht="13.95" customHeight="1" x14ac:dyDescent="0.25">
      <c r="A156" s="166"/>
      <c r="B156" s="269"/>
      <c r="C156" s="372"/>
      <c r="D156" s="542" t="s">
        <v>325</v>
      </c>
      <c r="E156" s="856">
        <f ca="1">VLOOKUP($D156,Data!$C$2:$H$384,6,FALSE)</f>
        <v>0</v>
      </c>
      <c r="F156" s="372"/>
      <c r="G156" s="542" t="s">
        <v>325</v>
      </c>
      <c r="H156" s="853">
        <f t="shared" ca="1" si="9"/>
        <v>0</v>
      </c>
      <c r="I156" s="661" t="str">
        <f t="shared" ca="1" si="5"/>
        <v/>
      </c>
      <c r="J156" s="661" t="str">
        <f t="shared" ca="1" si="6"/>
        <v/>
      </c>
      <c r="K156" s="661" t="str">
        <f t="shared" ca="1" si="7"/>
        <v/>
      </c>
      <c r="L156" s="661" t="str">
        <f t="shared" ca="1" si="8"/>
        <v/>
      </c>
      <c r="M156" s="260"/>
      <c r="N156" s="273"/>
      <c r="O156" s="274"/>
    </row>
    <row r="157" spans="1:15" ht="13.95" customHeight="1" x14ac:dyDescent="0.25">
      <c r="A157" s="166"/>
      <c r="B157" s="269"/>
      <c r="C157" s="372"/>
      <c r="D157" s="542" t="s">
        <v>326</v>
      </c>
      <c r="E157" s="856">
        <f ca="1">VLOOKUP($D157,Data!$C$2:$H$384,6,FALSE)</f>
        <v>0</v>
      </c>
      <c r="F157" s="372"/>
      <c r="G157" s="542" t="s">
        <v>326</v>
      </c>
      <c r="H157" s="853">
        <f t="shared" ca="1" si="9"/>
        <v>0</v>
      </c>
      <c r="I157" s="661" t="str">
        <f t="shared" ca="1" si="5"/>
        <v/>
      </c>
      <c r="J157" s="661" t="str">
        <f t="shared" ca="1" si="6"/>
        <v/>
      </c>
      <c r="K157" s="661" t="str">
        <f t="shared" ca="1" si="7"/>
        <v/>
      </c>
      <c r="L157" s="661" t="str">
        <f t="shared" ca="1" si="8"/>
        <v/>
      </c>
      <c r="M157" s="260"/>
      <c r="N157" s="273"/>
      <c r="O157" s="274"/>
    </row>
    <row r="158" spans="1:15" ht="13.95" customHeight="1" x14ac:dyDescent="0.25">
      <c r="A158" s="166"/>
      <c r="B158" s="269"/>
      <c r="C158" s="372"/>
      <c r="D158" s="542" t="s">
        <v>329</v>
      </c>
      <c r="E158" s="856">
        <f ca="1">VLOOKUP($D158,Data!$C$2:$H$384,6,FALSE)</f>
        <v>0</v>
      </c>
      <c r="F158" s="372"/>
      <c r="G158" s="542" t="s">
        <v>329</v>
      </c>
      <c r="H158" s="853">
        <f t="shared" ca="1" si="9"/>
        <v>0</v>
      </c>
      <c r="I158" s="661" t="str">
        <f t="shared" ca="1" si="5"/>
        <v/>
      </c>
      <c r="J158" s="661" t="str">
        <f t="shared" ca="1" si="6"/>
        <v/>
      </c>
      <c r="K158" s="661" t="str">
        <f t="shared" ca="1" si="7"/>
        <v/>
      </c>
      <c r="L158" s="661" t="str">
        <f t="shared" ca="1" si="8"/>
        <v/>
      </c>
      <c r="M158" s="260"/>
      <c r="N158" s="273"/>
      <c r="O158" s="274"/>
    </row>
    <row r="159" spans="1:15" ht="13.95" customHeight="1" x14ac:dyDescent="0.25">
      <c r="A159" s="166"/>
      <c r="B159" s="269"/>
      <c r="C159" s="372"/>
      <c r="D159" s="542" t="s">
        <v>330</v>
      </c>
      <c r="E159" s="856">
        <f ca="1">VLOOKUP($D159,Data!$C$2:$H$384,6,FALSE)</f>
        <v>0</v>
      </c>
      <c r="F159" s="372"/>
      <c r="G159" s="542" t="s">
        <v>330</v>
      </c>
      <c r="H159" s="853">
        <f t="shared" ca="1" si="9"/>
        <v>0</v>
      </c>
      <c r="I159" s="661" t="str">
        <f t="shared" ca="1" si="5"/>
        <v/>
      </c>
      <c r="J159" s="661" t="str">
        <f t="shared" ca="1" si="6"/>
        <v/>
      </c>
      <c r="K159" s="661" t="str">
        <f t="shared" ca="1" si="7"/>
        <v/>
      </c>
      <c r="L159" s="661" t="str">
        <f t="shared" ca="1" si="8"/>
        <v/>
      </c>
      <c r="M159" s="260"/>
      <c r="N159" s="273"/>
      <c r="O159" s="274"/>
    </row>
    <row r="160" spans="1:15" ht="13.95" customHeight="1" x14ac:dyDescent="0.25">
      <c r="A160" s="166"/>
      <c r="B160" s="269"/>
      <c r="C160" s="372"/>
      <c r="D160" s="542" t="s">
        <v>331</v>
      </c>
      <c r="E160" s="856">
        <f ca="1">VLOOKUP($D160,Data!$C$2:$H$384,6,FALSE)</f>
        <v>0</v>
      </c>
      <c r="F160" s="372"/>
      <c r="G160" s="542" t="s">
        <v>331</v>
      </c>
      <c r="H160" s="853">
        <f t="shared" ca="1" si="9"/>
        <v>0</v>
      </c>
      <c r="I160" s="661" t="str">
        <f t="shared" ca="1" si="5"/>
        <v/>
      </c>
      <c r="J160" s="661" t="str">
        <f t="shared" ca="1" si="6"/>
        <v/>
      </c>
      <c r="K160" s="661" t="str">
        <f t="shared" ca="1" si="7"/>
        <v/>
      </c>
      <c r="L160" s="661" t="str">
        <f t="shared" ca="1" si="8"/>
        <v/>
      </c>
      <c r="M160" s="260"/>
      <c r="N160" s="273"/>
      <c r="O160" s="274"/>
    </row>
    <row r="161" spans="1:15" ht="13.95" customHeight="1" x14ac:dyDescent="0.25">
      <c r="A161" s="166"/>
      <c r="B161" s="269"/>
      <c r="C161" s="372"/>
      <c r="D161" s="542" t="s">
        <v>332</v>
      </c>
      <c r="E161" s="856">
        <f ca="1">VLOOKUP($D161,Data!$C$2:$H$384,6,FALSE)</f>
        <v>0</v>
      </c>
      <c r="F161" s="372"/>
      <c r="G161" s="542" t="s">
        <v>332</v>
      </c>
      <c r="H161" s="853">
        <f t="shared" ca="1" si="9"/>
        <v>0</v>
      </c>
      <c r="I161" s="661" t="str">
        <f t="shared" ca="1" si="5"/>
        <v/>
      </c>
      <c r="J161" s="661" t="str">
        <f t="shared" ca="1" si="6"/>
        <v/>
      </c>
      <c r="K161" s="661" t="str">
        <f t="shared" ca="1" si="7"/>
        <v/>
      </c>
      <c r="L161" s="661" t="str">
        <f t="shared" ca="1" si="8"/>
        <v/>
      </c>
      <c r="M161" s="260"/>
      <c r="N161" s="273"/>
      <c r="O161" s="274"/>
    </row>
    <row r="162" spans="1:15" ht="13.95" customHeight="1" x14ac:dyDescent="0.25">
      <c r="A162" s="166"/>
      <c r="B162" s="269"/>
      <c r="C162" s="372"/>
      <c r="D162" s="542" t="s">
        <v>333</v>
      </c>
      <c r="E162" s="856">
        <f ca="1">VLOOKUP($D162,Data!$C$2:$H$384,6,FALSE)</f>
        <v>0</v>
      </c>
      <c r="F162" s="372"/>
      <c r="G162" s="542" t="s">
        <v>333</v>
      </c>
      <c r="H162" s="853">
        <f t="shared" ca="1" si="9"/>
        <v>0</v>
      </c>
      <c r="I162" s="661" t="str">
        <f t="shared" ca="1" si="5"/>
        <v/>
      </c>
      <c r="J162" s="661" t="str">
        <f t="shared" ca="1" si="6"/>
        <v/>
      </c>
      <c r="K162" s="661" t="str">
        <f t="shared" ca="1" si="7"/>
        <v/>
      </c>
      <c r="L162" s="661" t="str">
        <f t="shared" ca="1" si="8"/>
        <v/>
      </c>
      <c r="M162" s="260"/>
      <c r="N162" s="273"/>
      <c r="O162" s="274"/>
    </row>
    <row r="163" spans="1:15" ht="13.95" customHeight="1" x14ac:dyDescent="0.25">
      <c r="A163" s="166"/>
      <c r="B163" s="269"/>
      <c r="C163" s="372"/>
      <c r="D163" s="542" t="s">
        <v>334</v>
      </c>
      <c r="E163" s="856">
        <f ca="1">VLOOKUP($D163,Data!$C$2:$H$384,6,FALSE)</f>
        <v>0</v>
      </c>
      <c r="F163" s="372"/>
      <c r="G163" s="542" t="s">
        <v>334</v>
      </c>
      <c r="H163" s="853">
        <f t="shared" ca="1" si="9"/>
        <v>0</v>
      </c>
      <c r="I163" s="661" t="str">
        <f t="shared" ca="1" si="5"/>
        <v/>
      </c>
      <c r="J163" s="661" t="str">
        <f t="shared" ca="1" si="6"/>
        <v/>
      </c>
      <c r="K163" s="661" t="str">
        <f t="shared" ca="1" si="7"/>
        <v/>
      </c>
      <c r="L163" s="661" t="str">
        <f t="shared" ca="1" si="8"/>
        <v/>
      </c>
      <c r="M163" s="260"/>
      <c r="N163" s="273"/>
      <c r="O163" s="274"/>
    </row>
    <row r="164" spans="1:15" ht="13.95" customHeight="1" x14ac:dyDescent="0.25">
      <c r="A164" s="166"/>
      <c r="B164" s="269"/>
      <c r="C164" s="372"/>
      <c r="D164" s="542" t="s">
        <v>335</v>
      </c>
      <c r="E164" s="856">
        <f ca="1">VLOOKUP($D164,Data!$C$2:$H$384,6,FALSE)</f>
        <v>0</v>
      </c>
      <c r="F164" s="372"/>
      <c r="G164" s="542" t="s">
        <v>335</v>
      </c>
      <c r="H164" s="853">
        <f t="shared" ca="1" si="9"/>
        <v>0</v>
      </c>
      <c r="I164" s="661" t="str">
        <f t="shared" ca="1" si="5"/>
        <v/>
      </c>
      <c r="J164" s="661" t="str">
        <f t="shared" ca="1" si="6"/>
        <v/>
      </c>
      <c r="K164" s="661" t="str">
        <f t="shared" ca="1" si="7"/>
        <v/>
      </c>
      <c r="L164" s="661" t="str">
        <f t="shared" ca="1" si="8"/>
        <v/>
      </c>
      <c r="M164" s="260"/>
      <c r="N164" s="273"/>
      <c r="O164" s="274"/>
    </row>
    <row r="165" spans="1:15" ht="13.95" customHeight="1" x14ac:dyDescent="0.25">
      <c r="A165" s="166"/>
      <c r="B165" s="269"/>
      <c r="C165" s="372"/>
      <c r="D165" s="542" t="s">
        <v>1008</v>
      </c>
      <c r="E165" s="856">
        <f ca="1">VLOOKUP($D165,Data!$C$2:$H$384,6,FALSE)</f>
        <v>0</v>
      </c>
      <c r="F165" s="372"/>
      <c r="G165" s="542" t="s">
        <v>1008</v>
      </c>
      <c r="H165" s="853">
        <f t="shared" ca="1" si="9"/>
        <v>0</v>
      </c>
      <c r="I165" s="661" t="str">
        <f t="shared" ca="1" si="5"/>
        <v/>
      </c>
      <c r="J165" s="661" t="str">
        <f t="shared" ca="1" si="6"/>
        <v/>
      </c>
      <c r="K165" s="661" t="str">
        <f t="shared" ca="1" si="7"/>
        <v/>
      </c>
      <c r="L165" s="661" t="str">
        <f t="shared" ca="1" si="8"/>
        <v/>
      </c>
      <c r="M165" s="260"/>
      <c r="N165" s="273"/>
      <c r="O165" s="274"/>
    </row>
    <row r="166" spans="1:15" ht="13.95" customHeight="1" x14ac:dyDescent="0.25">
      <c r="A166" s="166"/>
      <c r="B166" s="269"/>
      <c r="C166" s="372"/>
      <c r="D166" s="542" t="s">
        <v>1009</v>
      </c>
      <c r="E166" s="856">
        <f ca="1">VLOOKUP($D166,Data!$C$2:$H$384,6,FALSE)</f>
        <v>0</v>
      </c>
      <c r="F166" s="372"/>
      <c r="G166" s="542" t="s">
        <v>1009</v>
      </c>
      <c r="H166" s="853">
        <f t="shared" ca="1" si="9"/>
        <v>0</v>
      </c>
      <c r="I166" s="661" t="str">
        <f t="shared" ca="1" si="5"/>
        <v/>
      </c>
      <c r="J166" s="661" t="str">
        <f t="shared" ca="1" si="6"/>
        <v/>
      </c>
      <c r="K166" s="661" t="str">
        <f t="shared" ca="1" si="7"/>
        <v/>
      </c>
      <c r="L166" s="661" t="str">
        <f t="shared" ca="1" si="8"/>
        <v/>
      </c>
      <c r="M166" s="260"/>
      <c r="N166" s="273"/>
      <c r="O166" s="274"/>
    </row>
    <row r="167" spans="1:15" ht="13.95" customHeight="1" x14ac:dyDescent="0.25">
      <c r="A167" s="166"/>
      <c r="B167" s="269"/>
      <c r="C167" s="372"/>
      <c r="D167" s="542" t="s">
        <v>1010</v>
      </c>
      <c r="E167" s="856">
        <f ca="1">VLOOKUP($D167,Data!$C$2:$H$384,6,FALSE)</f>
        <v>0</v>
      </c>
      <c r="F167" s="372"/>
      <c r="G167" s="542" t="s">
        <v>1010</v>
      </c>
      <c r="H167" s="853">
        <f t="shared" ca="1" si="9"/>
        <v>0</v>
      </c>
      <c r="I167" s="661" t="str">
        <f t="shared" ca="1" si="5"/>
        <v/>
      </c>
      <c r="J167" s="661" t="str">
        <f t="shared" ca="1" si="6"/>
        <v/>
      </c>
      <c r="K167" s="661" t="str">
        <f t="shared" ca="1" si="7"/>
        <v/>
      </c>
      <c r="L167" s="661" t="str">
        <f t="shared" ca="1" si="8"/>
        <v/>
      </c>
      <c r="M167" s="260"/>
      <c r="N167" s="273"/>
      <c r="O167" s="274"/>
    </row>
    <row r="168" spans="1:15" ht="13.95" customHeight="1" x14ac:dyDescent="0.25">
      <c r="A168" s="166"/>
      <c r="B168" s="269"/>
      <c r="C168" s="372"/>
      <c r="D168" s="542" t="s">
        <v>1011</v>
      </c>
      <c r="E168" s="856">
        <f ca="1">VLOOKUP($D168,Data!$C$2:$H$384,6,FALSE)</f>
        <v>0</v>
      </c>
      <c r="F168" s="372"/>
      <c r="G168" s="542" t="s">
        <v>1011</v>
      </c>
      <c r="H168" s="853">
        <f t="shared" ca="1" si="9"/>
        <v>0</v>
      </c>
      <c r="I168" s="661" t="str">
        <f t="shared" ca="1" si="5"/>
        <v/>
      </c>
      <c r="J168" s="661" t="str">
        <f t="shared" ca="1" si="6"/>
        <v/>
      </c>
      <c r="K168" s="661" t="str">
        <f t="shared" ca="1" si="7"/>
        <v/>
      </c>
      <c r="L168" s="661" t="str">
        <f t="shared" ca="1" si="8"/>
        <v/>
      </c>
      <c r="M168" s="260"/>
      <c r="N168" s="273"/>
      <c r="O168" s="274"/>
    </row>
    <row r="169" spans="1:15" ht="13.95" customHeight="1" x14ac:dyDescent="0.25">
      <c r="A169" s="166"/>
      <c r="B169" s="269"/>
      <c r="C169" s="372"/>
      <c r="D169" s="542" t="s">
        <v>1012</v>
      </c>
      <c r="E169" s="856">
        <f ca="1">VLOOKUP($D169,Data!$C$2:$H$384,6,FALSE)</f>
        <v>0</v>
      </c>
      <c r="F169" s="372"/>
      <c r="G169" s="542" t="s">
        <v>1012</v>
      </c>
      <c r="H169" s="853">
        <f t="shared" ca="1" si="9"/>
        <v>0</v>
      </c>
      <c r="I169" s="661" t="str">
        <f t="shared" ca="1" si="5"/>
        <v/>
      </c>
      <c r="J169" s="661" t="str">
        <f t="shared" ca="1" si="6"/>
        <v/>
      </c>
      <c r="K169" s="661" t="str">
        <f t="shared" ca="1" si="7"/>
        <v/>
      </c>
      <c r="L169" s="661" t="str">
        <f t="shared" ca="1" si="8"/>
        <v/>
      </c>
      <c r="M169" s="260"/>
      <c r="N169" s="273"/>
      <c r="O169" s="274"/>
    </row>
    <row r="170" spans="1:15" ht="13.95" customHeight="1" x14ac:dyDescent="0.25">
      <c r="A170" s="166"/>
      <c r="B170" s="269"/>
      <c r="C170" s="372"/>
      <c r="D170" s="542" t="s">
        <v>1013</v>
      </c>
      <c r="E170" s="856">
        <f ca="1">VLOOKUP($D170,Data!$C$2:$H$384,6,FALSE)</f>
        <v>0</v>
      </c>
      <c r="F170" s="372"/>
      <c r="G170" s="542" t="s">
        <v>1013</v>
      </c>
      <c r="H170" s="853">
        <f t="shared" ca="1" si="9"/>
        <v>0</v>
      </c>
      <c r="I170" s="661" t="str">
        <f t="shared" ca="1" si="5"/>
        <v/>
      </c>
      <c r="J170" s="661" t="str">
        <f t="shared" ca="1" si="6"/>
        <v/>
      </c>
      <c r="K170" s="661" t="str">
        <f t="shared" ca="1" si="7"/>
        <v/>
      </c>
      <c r="L170" s="661" t="str">
        <f t="shared" ca="1" si="8"/>
        <v/>
      </c>
      <c r="M170" s="260"/>
      <c r="N170" s="273"/>
      <c r="O170" s="274"/>
    </row>
    <row r="171" spans="1:15" ht="13.95" customHeight="1" x14ac:dyDescent="0.25">
      <c r="A171" s="166"/>
      <c r="B171" s="269"/>
      <c r="C171" s="372"/>
      <c r="D171" s="542" t="s">
        <v>1014</v>
      </c>
      <c r="E171" s="856">
        <f ca="1">VLOOKUP($D171,Data!$C$2:$H$384,6,FALSE)</f>
        <v>0</v>
      </c>
      <c r="F171" s="372"/>
      <c r="G171" s="542" t="s">
        <v>1014</v>
      </c>
      <c r="H171" s="853">
        <f t="shared" ca="1" si="9"/>
        <v>0</v>
      </c>
      <c r="I171" s="661" t="str">
        <f t="shared" ca="1" si="5"/>
        <v/>
      </c>
      <c r="J171" s="661" t="str">
        <f t="shared" ca="1" si="6"/>
        <v/>
      </c>
      <c r="K171" s="661" t="str">
        <f t="shared" ca="1" si="7"/>
        <v/>
      </c>
      <c r="L171" s="661" t="str">
        <f t="shared" ca="1" si="8"/>
        <v/>
      </c>
      <c r="M171" s="260"/>
      <c r="N171" s="273"/>
      <c r="O171" s="274"/>
    </row>
    <row r="172" spans="1:15" ht="13.95" customHeight="1" x14ac:dyDescent="0.25">
      <c r="A172" s="166"/>
      <c r="B172" s="269"/>
      <c r="C172" s="372"/>
      <c r="D172" s="542" t="s">
        <v>86</v>
      </c>
      <c r="E172" s="856">
        <f ca="1">VLOOKUP($D172,Data!$C$2:$H$384,6,FALSE)</f>
        <v>0</v>
      </c>
      <c r="F172" s="372"/>
      <c r="G172" s="542" t="s">
        <v>86</v>
      </c>
      <c r="H172" s="853">
        <f t="shared" ca="1" si="9"/>
        <v>0</v>
      </c>
      <c r="I172" s="661" t="str">
        <f t="shared" ca="1" si="5"/>
        <v/>
      </c>
      <c r="J172" s="661" t="str">
        <f t="shared" ca="1" si="6"/>
        <v/>
      </c>
      <c r="K172" s="661" t="str">
        <f t="shared" ca="1" si="7"/>
        <v/>
      </c>
      <c r="L172" s="661" t="str">
        <f t="shared" ca="1" si="8"/>
        <v/>
      </c>
      <c r="M172" s="260"/>
      <c r="N172" s="273"/>
      <c r="O172" s="274"/>
    </row>
    <row r="173" spans="1:15" ht="13.95" customHeight="1" x14ac:dyDescent="0.25">
      <c r="A173" s="166"/>
      <c r="B173" s="269"/>
      <c r="C173" s="372"/>
      <c r="D173" s="542" t="s">
        <v>88</v>
      </c>
      <c r="E173" s="856">
        <f ca="1">VLOOKUP($D173,Data!$C$2:$H$384,6,FALSE)</f>
        <v>0</v>
      </c>
      <c r="F173" s="372"/>
      <c r="G173" s="542" t="s">
        <v>88</v>
      </c>
      <c r="H173" s="853">
        <f t="shared" ca="1" si="9"/>
        <v>0</v>
      </c>
      <c r="I173" s="661" t="str">
        <f t="shared" ca="1" si="5"/>
        <v/>
      </c>
      <c r="J173" s="661" t="str">
        <f t="shared" ca="1" si="6"/>
        <v/>
      </c>
      <c r="K173" s="661" t="str">
        <f t="shared" ca="1" si="7"/>
        <v/>
      </c>
      <c r="L173" s="661" t="str">
        <f t="shared" ca="1" si="8"/>
        <v/>
      </c>
      <c r="M173" s="260"/>
      <c r="N173" s="273"/>
      <c r="O173" s="274"/>
    </row>
    <row r="174" spans="1:15" ht="13.95" customHeight="1" x14ac:dyDescent="0.25">
      <c r="A174" s="166"/>
      <c r="B174" s="269"/>
      <c r="C174" s="372"/>
      <c r="D174" s="542" t="s">
        <v>89</v>
      </c>
      <c r="E174" s="856">
        <f ca="1">VLOOKUP($D174,Data!$C$2:$H$384,6,FALSE)</f>
        <v>0</v>
      </c>
      <c r="F174" s="372"/>
      <c r="G174" s="542" t="s">
        <v>89</v>
      </c>
      <c r="H174" s="853">
        <f t="shared" ca="1" si="9"/>
        <v>0</v>
      </c>
      <c r="I174" s="661" t="str">
        <f t="shared" ca="1" si="5"/>
        <v/>
      </c>
      <c r="J174" s="661" t="str">
        <f t="shared" ca="1" si="6"/>
        <v/>
      </c>
      <c r="K174" s="661" t="str">
        <f t="shared" ca="1" si="7"/>
        <v/>
      </c>
      <c r="L174" s="661" t="str">
        <f t="shared" ca="1" si="8"/>
        <v/>
      </c>
      <c r="M174" s="260"/>
      <c r="N174" s="273"/>
      <c r="O174" s="274"/>
    </row>
    <row r="175" spans="1:15" ht="13.95" customHeight="1" x14ac:dyDescent="0.25">
      <c r="A175" s="166"/>
      <c r="B175" s="269"/>
      <c r="C175" s="372"/>
      <c r="D175" s="542" t="s">
        <v>91</v>
      </c>
      <c r="E175" s="856">
        <f ca="1">VLOOKUP($D175,Data!$C$2:$H$384,6,FALSE)</f>
        <v>0</v>
      </c>
      <c r="F175" s="372"/>
      <c r="G175" s="542" t="s">
        <v>91</v>
      </c>
      <c r="H175" s="853">
        <f t="shared" ca="1" si="9"/>
        <v>0</v>
      </c>
      <c r="I175" s="661" t="str">
        <f t="shared" ca="1" si="5"/>
        <v/>
      </c>
      <c r="J175" s="661" t="str">
        <f t="shared" ca="1" si="6"/>
        <v/>
      </c>
      <c r="K175" s="661" t="str">
        <f t="shared" ca="1" si="7"/>
        <v/>
      </c>
      <c r="L175" s="661" t="str">
        <f t="shared" ca="1" si="8"/>
        <v/>
      </c>
      <c r="M175" s="260"/>
      <c r="N175" s="273"/>
      <c r="O175" s="274"/>
    </row>
    <row r="176" spans="1:15" ht="13.95" customHeight="1" x14ac:dyDescent="0.25">
      <c r="A176" s="166"/>
      <c r="B176" s="269"/>
      <c r="C176" s="372"/>
      <c r="D176" s="542" t="s">
        <v>93</v>
      </c>
      <c r="E176" s="856">
        <f ca="1">VLOOKUP($D176,Data!$C$2:$H$384,6,FALSE)</f>
        <v>0</v>
      </c>
      <c r="F176" s="372"/>
      <c r="G176" s="542" t="s">
        <v>93</v>
      </c>
      <c r="H176" s="853">
        <f t="shared" ca="1" si="9"/>
        <v>0</v>
      </c>
      <c r="I176" s="661" t="str">
        <f t="shared" ca="1" si="5"/>
        <v/>
      </c>
      <c r="J176" s="661" t="str">
        <f t="shared" ca="1" si="6"/>
        <v/>
      </c>
      <c r="K176" s="661" t="str">
        <f t="shared" ca="1" si="7"/>
        <v/>
      </c>
      <c r="L176" s="661" t="str">
        <f t="shared" ca="1" si="8"/>
        <v/>
      </c>
      <c r="M176" s="260"/>
      <c r="N176" s="273"/>
      <c r="O176" s="274"/>
    </row>
    <row r="177" spans="1:15" ht="13.95" customHeight="1" x14ac:dyDescent="0.25">
      <c r="A177" s="166"/>
      <c r="B177" s="269"/>
      <c r="C177" s="372"/>
      <c r="D177" s="542" t="s">
        <v>95</v>
      </c>
      <c r="E177" s="856">
        <f ca="1">VLOOKUP($D177,Data!$C$2:$H$384,6,FALSE)</f>
        <v>0</v>
      </c>
      <c r="F177" s="372"/>
      <c r="G177" s="542" t="s">
        <v>95</v>
      </c>
      <c r="H177" s="853">
        <f t="shared" ca="1" si="9"/>
        <v>0</v>
      </c>
      <c r="I177" s="661" t="str">
        <f t="shared" ca="1" si="5"/>
        <v/>
      </c>
      <c r="J177" s="661" t="str">
        <f t="shared" ca="1" si="6"/>
        <v/>
      </c>
      <c r="K177" s="661" t="str">
        <f t="shared" ca="1" si="7"/>
        <v/>
      </c>
      <c r="L177" s="661" t="str">
        <f t="shared" ca="1" si="8"/>
        <v/>
      </c>
      <c r="M177" s="260"/>
      <c r="N177" s="273"/>
      <c r="O177" s="274"/>
    </row>
    <row r="178" spans="1:15" ht="13.95" customHeight="1" x14ac:dyDescent="0.25">
      <c r="A178" s="166"/>
      <c r="B178" s="269"/>
      <c r="C178" s="372"/>
      <c r="D178" s="542" t="s">
        <v>939</v>
      </c>
      <c r="E178" s="856">
        <f ca="1">VLOOKUP($D178,Data!$C$2:$H$384,6,FALSE)</f>
        <v>0</v>
      </c>
      <c r="F178" s="372"/>
      <c r="G178" s="542" t="s">
        <v>939</v>
      </c>
      <c r="H178" s="853">
        <f t="shared" ca="1" si="9"/>
        <v>0</v>
      </c>
      <c r="I178" s="661" t="str">
        <f t="shared" ca="1" si="5"/>
        <v/>
      </c>
      <c r="J178" s="661" t="str">
        <f t="shared" ca="1" si="6"/>
        <v/>
      </c>
      <c r="K178" s="661" t="str">
        <f t="shared" ca="1" si="7"/>
        <v/>
      </c>
      <c r="L178" s="661" t="str">
        <f t="shared" ca="1" si="8"/>
        <v/>
      </c>
      <c r="M178" s="260"/>
      <c r="N178" s="273"/>
      <c r="O178" s="274"/>
    </row>
    <row r="179" spans="1:15" ht="13.95" customHeight="1" x14ac:dyDescent="0.25">
      <c r="A179" s="166"/>
      <c r="B179" s="269"/>
      <c r="C179" s="372"/>
      <c r="D179" s="542" t="s">
        <v>940</v>
      </c>
      <c r="E179" s="856">
        <f ca="1">VLOOKUP($D179,Data!$C$2:$H$384,6,FALSE)</f>
        <v>0</v>
      </c>
      <c r="F179" s="372"/>
      <c r="G179" s="542" t="s">
        <v>940</v>
      </c>
      <c r="H179" s="853">
        <f t="shared" ca="1" si="9"/>
        <v>0</v>
      </c>
      <c r="I179" s="661" t="str">
        <f t="shared" ca="1" si="5"/>
        <v/>
      </c>
      <c r="J179" s="661" t="str">
        <f t="shared" ca="1" si="6"/>
        <v/>
      </c>
      <c r="K179" s="661" t="str">
        <f t="shared" ca="1" si="7"/>
        <v/>
      </c>
      <c r="L179" s="661" t="str">
        <f t="shared" ca="1" si="8"/>
        <v/>
      </c>
      <c r="M179" s="260"/>
      <c r="N179" s="273"/>
      <c r="O179" s="274"/>
    </row>
    <row r="180" spans="1:15" ht="13.95" customHeight="1" x14ac:dyDescent="0.25">
      <c r="A180" s="166"/>
      <c r="B180" s="269"/>
      <c r="C180" s="372"/>
      <c r="D180" s="542" t="s">
        <v>97</v>
      </c>
      <c r="E180" s="856">
        <f ca="1">VLOOKUP($D180,Data!$C$2:$H$384,6,FALSE)</f>
        <v>0</v>
      </c>
      <c r="F180" s="372"/>
      <c r="G180" s="542" t="s">
        <v>97</v>
      </c>
      <c r="H180" s="853">
        <f t="shared" ca="1" si="9"/>
        <v>0</v>
      </c>
      <c r="I180" s="661" t="str">
        <f t="shared" ca="1" si="5"/>
        <v/>
      </c>
      <c r="J180" s="661" t="str">
        <f t="shared" ca="1" si="6"/>
        <v/>
      </c>
      <c r="K180" s="661" t="str">
        <f t="shared" ca="1" si="7"/>
        <v/>
      </c>
      <c r="L180" s="661" t="str">
        <f t="shared" ca="1" si="8"/>
        <v/>
      </c>
      <c r="M180" s="260"/>
      <c r="N180" s="273"/>
      <c r="O180" s="274"/>
    </row>
    <row r="181" spans="1:15" ht="13.95" customHeight="1" x14ac:dyDescent="0.25">
      <c r="A181" s="166"/>
      <c r="B181" s="269"/>
      <c r="C181" s="372"/>
      <c r="D181" s="542" t="s">
        <v>98</v>
      </c>
      <c r="E181" s="856">
        <f ca="1">VLOOKUP($D181,Data!$C$2:$H$384,6,FALSE)</f>
        <v>0</v>
      </c>
      <c r="F181" s="372"/>
      <c r="G181" s="542" t="s">
        <v>98</v>
      </c>
      <c r="H181" s="853">
        <f t="shared" ca="1" si="9"/>
        <v>0</v>
      </c>
      <c r="I181" s="661" t="str">
        <f t="shared" ca="1" si="5"/>
        <v/>
      </c>
      <c r="J181" s="661" t="str">
        <f t="shared" ca="1" si="6"/>
        <v/>
      </c>
      <c r="K181" s="661" t="str">
        <f t="shared" ca="1" si="7"/>
        <v/>
      </c>
      <c r="L181" s="661" t="str">
        <f t="shared" ca="1" si="8"/>
        <v/>
      </c>
      <c r="M181" s="260"/>
      <c r="N181" s="273"/>
      <c r="O181" s="274"/>
    </row>
    <row r="182" spans="1:15" ht="13.95" customHeight="1" x14ac:dyDescent="0.25">
      <c r="A182" s="166"/>
      <c r="B182" s="269"/>
      <c r="C182" s="372"/>
      <c r="D182" s="542" t="s">
        <v>99</v>
      </c>
      <c r="E182" s="856">
        <f ca="1">VLOOKUP($D182,Data!$C$2:$H$384,6,FALSE)</f>
        <v>0</v>
      </c>
      <c r="F182" s="372"/>
      <c r="G182" s="542" t="s">
        <v>99</v>
      </c>
      <c r="H182" s="853">
        <f t="shared" ca="1" si="9"/>
        <v>0</v>
      </c>
      <c r="I182" s="661" t="str">
        <f t="shared" ca="1" si="5"/>
        <v/>
      </c>
      <c r="J182" s="661" t="str">
        <f t="shared" ca="1" si="6"/>
        <v/>
      </c>
      <c r="K182" s="661" t="str">
        <f t="shared" ca="1" si="7"/>
        <v/>
      </c>
      <c r="L182" s="661" t="str">
        <f t="shared" ca="1" si="8"/>
        <v/>
      </c>
      <c r="M182" s="260"/>
      <c r="N182" s="273"/>
      <c r="O182" s="274"/>
    </row>
    <row r="183" spans="1:15" ht="13.95" customHeight="1" x14ac:dyDescent="0.25">
      <c r="A183" s="166"/>
      <c r="B183" s="269"/>
      <c r="C183" s="372"/>
      <c r="D183" s="542" t="s">
        <v>100</v>
      </c>
      <c r="E183" s="856">
        <f ca="1">VLOOKUP($D183,Data!$C$2:$H$384,6,FALSE)</f>
        <v>0</v>
      </c>
      <c r="F183" s="372"/>
      <c r="G183" s="542" t="s">
        <v>100</v>
      </c>
      <c r="H183" s="853">
        <f t="shared" ca="1" si="9"/>
        <v>0</v>
      </c>
      <c r="I183" s="661" t="str">
        <f t="shared" ca="1" si="5"/>
        <v/>
      </c>
      <c r="J183" s="661" t="str">
        <f t="shared" ca="1" si="6"/>
        <v/>
      </c>
      <c r="K183" s="661" t="str">
        <f t="shared" ca="1" si="7"/>
        <v/>
      </c>
      <c r="L183" s="661" t="str">
        <f t="shared" ca="1" si="8"/>
        <v/>
      </c>
      <c r="M183" s="260"/>
      <c r="N183" s="273"/>
      <c r="O183" s="274"/>
    </row>
    <row r="184" spans="1:15" ht="13.95" customHeight="1" x14ac:dyDescent="0.25">
      <c r="A184" s="166"/>
      <c r="B184" s="269"/>
      <c r="C184" s="372"/>
      <c r="D184" s="542" t="s">
        <v>101</v>
      </c>
      <c r="E184" s="856">
        <f ca="1">VLOOKUP($D184,Data!$C$2:$H$384,6,FALSE)</f>
        <v>0</v>
      </c>
      <c r="F184" s="372"/>
      <c r="G184" s="542" t="s">
        <v>101</v>
      </c>
      <c r="H184" s="853">
        <f t="shared" ca="1" si="9"/>
        <v>0</v>
      </c>
      <c r="I184" s="661" t="str">
        <f t="shared" ca="1" si="5"/>
        <v/>
      </c>
      <c r="J184" s="661" t="str">
        <f t="shared" ca="1" si="6"/>
        <v/>
      </c>
      <c r="K184" s="661" t="str">
        <f t="shared" ca="1" si="7"/>
        <v/>
      </c>
      <c r="L184" s="661" t="str">
        <f t="shared" ca="1" si="8"/>
        <v/>
      </c>
      <c r="M184" s="260"/>
      <c r="N184" s="273"/>
      <c r="O184" s="274"/>
    </row>
    <row r="185" spans="1:15" ht="13.95" customHeight="1" x14ac:dyDescent="0.25">
      <c r="A185" s="166"/>
      <c r="B185" s="269"/>
      <c r="C185" s="372"/>
      <c r="D185" s="542" t="s">
        <v>102</v>
      </c>
      <c r="E185" s="856">
        <f ca="1">VLOOKUP($D185,Data!$C$2:$H$384,6,FALSE)</f>
        <v>0</v>
      </c>
      <c r="F185" s="372"/>
      <c r="G185" s="542" t="s">
        <v>102</v>
      </c>
      <c r="H185" s="853">
        <f t="shared" ca="1" si="9"/>
        <v>0</v>
      </c>
      <c r="I185" s="661" t="str">
        <f t="shared" ca="1" si="5"/>
        <v/>
      </c>
      <c r="J185" s="661" t="str">
        <f t="shared" ca="1" si="6"/>
        <v/>
      </c>
      <c r="K185" s="661" t="str">
        <f t="shared" ca="1" si="7"/>
        <v/>
      </c>
      <c r="L185" s="661" t="str">
        <f t="shared" ca="1" si="8"/>
        <v/>
      </c>
      <c r="M185" s="260"/>
      <c r="N185" s="273"/>
      <c r="O185" s="274"/>
    </row>
    <row r="186" spans="1:15" ht="13.95" customHeight="1" x14ac:dyDescent="0.25">
      <c r="A186" s="166"/>
      <c r="B186" s="269"/>
      <c r="C186" s="372"/>
      <c r="D186" s="542" t="s">
        <v>942</v>
      </c>
      <c r="E186" s="856">
        <f ca="1">VLOOKUP($D186,Data!$C$2:$H$384,6,FALSE)</f>
        <v>0</v>
      </c>
      <c r="F186" s="372"/>
      <c r="G186" s="542" t="s">
        <v>942</v>
      </c>
      <c r="H186" s="853">
        <f t="shared" ca="1" si="9"/>
        <v>0</v>
      </c>
      <c r="I186" s="661" t="str">
        <f t="shared" ca="1" si="5"/>
        <v/>
      </c>
      <c r="J186" s="661" t="str">
        <f t="shared" ca="1" si="6"/>
        <v/>
      </c>
      <c r="K186" s="661" t="str">
        <f t="shared" ca="1" si="7"/>
        <v/>
      </c>
      <c r="L186" s="661" t="str">
        <f t="shared" ca="1" si="8"/>
        <v/>
      </c>
      <c r="M186" s="260"/>
      <c r="N186" s="273"/>
      <c r="O186" s="274"/>
    </row>
    <row r="187" spans="1:15" ht="13.95" customHeight="1" x14ac:dyDescent="0.25">
      <c r="A187" s="166"/>
      <c r="B187" s="269"/>
      <c r="C187" s="372"/>
      <c r="D187" s="542" t="s">
        <v>943</v>
      </c>
      <c r="E187" s="856">
        <f ca="1">VLOOKUP($D187,Data!$C$2:$H$384,6,FALSE)</f>
        <v>0</v>
      </c>
      <c r="F187" s="372"/>
      <c r="G187" s="542" t="s">
        <v>943</v>
      </c>
      <c r="H187" s="853">
        <f t="shared" ca="1" si="9"/>
        <v>0</v>
      </c>
      <c r="I187" s="661" t="str">
        <f t="shared" ca="1" si="5"/>
        <v/>
      </c>
      <c r="J187" s="661" t="str">
        <f t="shared" ca="1" si="6"/>
        <v/>
      </c>
      <c r="K187" s="661" t="str">
        <f t="shared" ca="1" si="7"/>
        <v/>
      </c>
      <c r="L187" s="661" t="str">
        <f t="shared" ca="1" si="8"/>
        <v/>
      </c>
      <c r="M187" s="260"/>
      <c r="N187" s="273"/>
      <c r="O187" s="274"/>
    </row>
    <row r="188" spans="1:15" ht="13.95" customHeight="1" x14ac:dyDescent="0.25">
      <c r="A188" s="166"/>
      <c r="B188" s="269"/>
      <c r="C188" s="372"/>
      <c r="D188" s="542" t="s">
        <v>105</v>
      </c>
      <c r="E188" s="856">
        <f ca="1">VLOOKUP($D188,Data!$C$2:$H$384,6,FALSE)</f>
        <v>0</v>
      </c>
      <c r="F188" s="372"/>
      <c r="G188" s="542" t="s">
        <v>105</v>
      </c>
      <c r="H188" s="853">
        <f t="shared" ca="1" si="9"/>
        <v>0</v>
      </c>
      <c r="I188" s="661" t="str">
        <f t="shared" ca="1" si="5"/>
        <v/>
      </c>
      <c r="J188" s="661" t="str">
        <f t="shared" ca="1" si="6"/>
        <v/>
      </c>
      <c r="K188" s="661" t="str">
        <f t="shared" ca="1" si="7"/>
        <v/>
      </c>
      <c r="L188" s="661" t="str">
        <f t="shared" ca="1" si="8"/>
        <v/>
      </c>
      <c r="M188" s="260"/>
      <c r="N188" s="273"/>
      <c r="O188" s="274"/>
    </row>
    <row r="189" spans="1:15" ht="13.95" customHeight="1" x14ac:dyDescent="0.25">
      <c r="A189" s="166"/>
      <c r="B189" s="269"/>
      <c r="C189" s="372"/>
      <c r="D189" s="542" t="s">
        <v>107</v>
      </c>
      <c r="E189" s="856">
        <f ca="1">VLOOKUP($D189,Data!$C$2:$H$384,6,FALSE)</f>
        <v>0</v>
      </c>
      <c r="F189" s="372"/>
      <c r="G189" s="542" t="s">
        <v>107</v>
      </c>
      <c r="H189" s="853">
        <f t="shared" ca="1" si="9"/>
        <v>0</v>
      </c>
      <c r="I189" s="661" t="str">
        <f t="shared" ca="1" si="5"/>
        <v/>
      </c>
      <c r="J189" s="661" t="str">
        <f t="shared" ca="1" si="6"/>
        <v/>
      </c>
      <c r="K189" s="661" t="str">
        <f t="shared" ca="1" si="7"/>
        <v/>
      </c>
      <c r="L189" s="661" t="str">
        <f t="shared" ca="1" si="8"/>
        <v/>
      </c>
      <c r="M189" s="260"/>
      <c r="N189" s="273"/>
      <c r="O189" s="274"/>
    </row>
    <row r="190" spans="1:15" ht="13.95" customHeight="1" x14ac:dyDescent="0.25">
      <c r="A190" s="166"/>
      <c r="B190" s="269"/>
      <c r="C190" s="372"/>
      <c r="D190" s="542" t="s">
        <v>109</v>
      </c>
      <c r="E190" s="856">
        <f ca="1">VLOOKUP($D190,Data!$C$2:$H$384,6,FALSE)</f>
        <v>0</v>
      </c>
      <c r="F190" s="372"/>
      <c r="G190" s="542" t="s">
        <v>109</v>
      </c>
      <c r="H190" s="853">
        <f t="shared" ca="1" si="9"/>
        <v>0</v>
      </c>
      <c r="I190" s="661" t="str">
        <f t="shared" ca="1" si="5"/>
        <v/>
      </c>
      <c r="J190" s="661" t="str">
        <f t="shared" ca="1" si="6"/>
        <v/>
      </c>
      <c r="K190" s="661" t="str">
        <f t="shared" ca="1" si="7"/>
        <v/>
      </c>
      <c r="L190" s="661" t="str">
        <f t="shared" ca="1" si="8"/>
        <v/>
      </c>
      <c r="M190" s="260"/>
      <c r="N190" s="273"/>
      <c r="O190" s="274"/>
    </row>
    <row r="191" spans="1:15" ht="13.95" customHeight="1" x14ac:dyDescent="0.25">
      <c r="A191" s="166"/>
      <c r="B191" s="269"/>
      <c r="C191" s="372"/>
      <c r="D191" s="542" t="s">
        <v>111</v>
      </c>
      <c r="E191" s="856">
        <f ca="1">VLOOKUP($D191,Data!$C$2:$H$384,6,FALSE)</f>
        <v>0</v>
      </c>
      <c r="F191" s="372"/>
      <c r="G191" s="542" t="s">
        <v>111</v>
      </c>
      <c r="H191" s="853">
        <f t="shared" ca="1" si="9"/>
        <v>0</v>
      </c>
      <c r="I191" s="661" t="str">
        <f t="shared" ca="1" si="5"/>
        <v/>
      </c>
      <c r="J191" s="661" t="str">
        <f t="shared" ca="1" si="6"/>
        <v/>
      </c>
      <c r="K191" s="661" t="str">
        <f t="shared" ca="1" si="7"/>
        <v/>
      </c>
      <c r="L191" s="661" t="str">
        <f t="shared" ca="1" si="8"/>
        <v/>
      </c>
      <c r="M191" s="260"/>
      <c r="N191" s="273"/>
      <c r="O191" s="274"/>
    </row>
    <row r="192" spans="1:15" ht="13.95" customHeight="1" x14ac:dyDescent="0.25">
      <c r="A192" s="166"/>
      <c r="B192" s="269"/>
      <c r="C192" s="372"/>
      <c r="D192" s="542" t="s">
        <v>113</v>
      </c>
      <c r="E192" s="856">
        <f ca="1">VLOOKUP($D192,Data!$C$2:$H$384,6,FALSE)</f>
        <v>0</v>
      </c>
      <c r="F192" s="372"/>
      <c r="G192" s="542" t="s">
        <v>113</v>
      </c>
      <c r="H192" s="853">
        <f t="shared" ca="1" si="9"/>
        <v>0</v>
      </c>
      <c r="I192" s="661" t="str">
        <f t="shared" ca="1" si="5"/>
        <v/>
      </c>
      <c r="J192" s="661" t="str">
        <f t="shared" ca="1" si="6"/>
        <v/>
      </c>
      <c r="K192" s="661" t="str">
        <f t="shared" ca="1" si="7"/>
        <v/>
      </c>
      <c r="L192" s="661" t="str">
        <f t="shared" ca="1" si="8"/>
        <v/>
      </c>
      <c r="M192" s="260"/>
      <c r="N192" s="273"/>
      <c r="O192" s="274"/>
    </row>
    <row r="193" spans="1:15" ht="13.95" customHeight="1" x14ac:dyDescent="0.25">
      <c r="A193" s="166"/>
      <c r="B193" s="269"/>
      <c r="C193" s="372"/>
      <c r="D193" s="542" t="s">
        <v>116</v>
      </c>
      <c r="E193" s="856">
        <f ca="1">VLOOKUP($D193,Data!$C$2:$H$384,6,FALSE)</f>
        <v>0</v>
      </c>
      <c r="F193" s="372"/>
      <c r="G193" s="542" t="s">
        <v>116</v>
      </c>
      <c r="H193" s="853">
        <f t="shared" ca="1" si="9"/>
        <v>0</v>
      </c>
      <c r="I193" s="661" t="str">
        <f t="shared" ca="1" si="5"/>
        <v/>
      </c>
      <c r="J193" s="661" t="str">
        <f t="shared" ca="1" si="6"/>
        <v/>
      </c>
      <c r="K193" s="661" t="str">
        <f t="shared" ca="1" si="7"/>
        <v/>
      </c>
      <c r="L193" s="661" t="str">
        <f t="shared" ca="1" si="8"/>
        <v/>
      </c>
      <c r="M193" s="260"/>
      <c r="N193" s="273"/>
      <c r="O193" s="274"/>
    </row>
    <row r="194" spans="1:15" ht="13.95" customHeight="1" x14ac:dyDescent="0.25">
      <c r="A194" s="166"/>
      <c r="B194" s="269"/>
      <c r="C194" s="372"/>
      <c r="D194" s="542" t="s">
        <v>119</v>
      </c>
      <c r="E194" s="856">
        <f ca="1">VLOOKUP($D194,Data!$C$2:$H$384,6,FALSE)</f>
        <v>0</v>
      </c>
      <c r="F194" s="372"/>
      <c r="G194" s="542" t="s">
        <v>119</v>
      </c>
      <c r="H194" s="853">
        <f t="shared" ca="1" si="9"/>
        <v>0</v>
      </c>
      <c r="I194" s="661" t="str">
        <f t="shared" ca="1" si="5"/>
        <v/>
      </c>
      <c r="J194" s="661" t="str">
        <f t="shared" ca="1" si="6"/>
        <v/>
      </c>
      <c r="K194" s="661" t="str">
        <f t="shared" ca="1" si="7"/>
        <v/>
      </c>
      <c r="L194" s="661" t="str">
        <f t="shared" ca="1" si="8"/>
        <v/>
      </c>
      <c r="M194" s="260"/>
      <c r="N194" s="273"/>
      <c r="O194" s="274"/>
    </row>
    <row r="195" spans="1:15" ht="13.95" customHeight="1" x14ac:dyDescent="0.25">
      <c r="A195" s="166"/>
      <c r="B195" s="269"/>
      <c r="C195" s="372"/>
      <c r="D195" s="542" t="s">
        <v>122</v>
      </c>
      <c r="E195" s="856">
        <f ca="1">VLOOKUP($D195,Data!$C$2:$H$384,6,FALSE)</f>
        <v>0</v>
      </c>
      <c r="F195" s="372"/>
      <c r="G195" s="542" t="s">
        <v>122</v>
      </c>
      <c r="H195" s="853">
        <f t="shared" ca="1" si="9"/>
        <v>0</v>
      </c>
      <c r="I195" s="661" t="str">
        <f t="shared" ca="1" si="5"/>
        <v/>
      </c>
      <c r="J195" s="661" t="str">
        <f t="shared" ca="1" si="6"/>
        <v/>
      </c>
      <c r="K195" s="661" t="str">
        <f t="shared" ca="1" si="7"/>
        <v/>
      </c>
      <c r="L195" s="661" t="str">
        <f t="shared" ca="1" si="8"/>
        <v/>
      </c>
      <c r="M195" s="260"/>
      <c r="N195" s="273"/>
      <c r="O195" s="274"/>
    </row>
    <row r="196" spans="1:15" ht="13.95" customHeight="1" x14ac:dyDescent="0.25">
      <c r="A196" s="166"/>
      <c r="B196" s="269"/>
      <c r="C196" s="372"/>
      <c r="D196" s="542" t="s">
        <v>125</v>
      </c>
      <c r="E196" s="856">
        <f ca="1">VLOOKUP($D196,Data!$C$2:$H$384,6,FALSE)</f>
        <v>0</v>
      </c>
      <c r="F196" s="372"/>
      <c r="G196" s="542" t="s">
        <v>125</v>
      </c>
      <c r="H196" s="853">
        <f t="shared" ca="1" si="9"/>
        <v>0</v>
      </c>
      <c r="I196" s="661" t="str">
        <f t="shared" ca="1" si="5"/>
        <v/>
      </c>
      <c r="J196" s="661" t="str">
        <f t="shared" ca="1" si="6"/>
        <v/>
      </c>
      <c r="K196" s="661" t="str">
        <f t="shared" ca="1" si="7"/>
        <v/>
      </c>
      <c r="L196" s="661" t="str">
        <f t="shared" ca="1" si="8"/>
        <v/>
      </c>
      <c r="M196" s="260"/>
      <c r="N196" s="273"/>
      <c r="O196" s="274"/>
    </row>
    <row r="197" spans="1:15" ht="13.95" customHeight="1" x14ac:dyDescent="0.25">
      <c r="A197" s="166"/>
      <c r="B197" s="269"/>
      <c r="C197" s="372"/>
      <c r="D197" s="542" t="s">
        <v>128</v>
      </c>
      <c r="E197" s="856">
        <f ca="1">VLOOKUP($D197,Data!$C$2:$H$384,6,FALSE)</f>
        <v>0</v>
      </c>
      <c r="F197" s="372"/>
      <c r="G197" s="542" t="s">
        <v>128</v>
      </c>
      <c r="H197" s="853">
        <f t="shared" ca="1" si="9"/>
        <v>0</v>
      </c>
      <c r="I197" s="661" t="str">
        <f t="shared" ca="1" si="5"/>
        <v/>
      </c>
      <c r="J197" s="661" t="str">
        <f t="shared" ca="1" si="6"/>
        <v/>
      </c>
      <c r="K197" s="661" t="str">
        <f t="shared" ca="1" si="7"/>
        <v/>
      </c>
      <c r="L197" s="661" t="str">
        <f t="shared" ca="1" si="8"/>
        <v/>
      </c>
      <c r="M197" s="260"/>
      <c r="N197" s="273"/>
      <c r="O197" s="274"/>
    </row>
    <row r="198" spans="1:15" ht="13.95" customHeight="1" x14ac:dyDescent="0.25">
      <c r="A198" s="166"/>
      <c r="B198" s="269"/>
      <c r="C198" s="372"/>
      <c r="D198" s="542" t="s">
        <v>130</v>
      </c>
      <c r="E198" s="856">
        <f ca="1">VLOOKUP($D198,Data!$C$2:$H$384,6,FALSE)</f>
        <v>0</v>
      </c>
      <c r="F198" s="372"/>
      <c r="G198" s="542" t="s">
        <v>130</v>
      </c>
      <c r="H198" s="853">
        <f t="shared" ca="1" si="9"/>
        <v>0</v>
      </c>
      <c r="I198" s="661" t="str">
        <f t="shared" ca="1" si="5"/>
        <v/>
      </c>
      <c r="J198" s="661" t="str">
        <f t="shared" ca="1" si="6"/>
        <v/>
      </c>
      <c r="K198" s="661" t="str">
        <f t="shared" ca="1" si="7"/>
        <v/>
      </c>
      <c r="L198" s="661" t="str">
        <f t="shared" ca="1" si="8"/>
        <v/>
      </c>
      <c r="M198" s="260"/>
      <c r="N198" s="273"/>
      <c r="O198" s="274"/>
    </row>
    <row r="199" spans="1:15" ht="13.95" customHeight="1" x14ac:dyDescent="0.25">
      <c r="A199" s="166"/>
      <c r="B199" s="269"/>
      <c r="C199" s="372"/>
      <c r="D199" s="542" t="s">
        <v>2614</v>
      </c>
      <c r="E199" s="856">
        <f ca="1">VLOOKUP($D199,Data!$C$2:$H$384,6,FALSE)</f>
        <v>0</v>
      </c>
      <c r="F199" s="372"/>
      <c r="G199" s="542" t="s">
        <v>2614</v>
      </c>
      <c r="H199" s="853">
        <f t="shared" ca="1" si="9"/>
        <v>0</v>
      </c>
      <c r="I199" s="661" t="str">
        <f t="shared" ca="1" si="5"/>
        <v/>
      </c>
      <c r="J199" s="661" t="str">
        <f t="shared" ca="1" si="6"/>
        <v/>
      </c>
      <c r="K199" s="661" t="str">
        <f t="shared" ca="1" si="7"/>
        <v/>
      </c>
      <c r="L199" s="661" t="str">
        <f t="shared" ca="1" si="8"/>
        <v/>
      </c>
      <c r="M199" s="260"/>
      <c r="N199" s="273"/>
      <c r="O199" s="274"/>
    </row>
    <row r="200" spans="1:15" ht="13.95" customHeight="1" x14ac:dyDescent="0.25">
      <c r="A200" s="166"/>
      <c r="B200" s="269"/>
      <c r="C200" s="372"/>
      <c r="D200" s="542" t="s">
        <v>2615</v>
      </c>
      <c r="E200" s="856">
        <f ca="1">VLOOKUP($D200,Data!$C$2:$H$384,6,FALSE)</f>
        <v>0</v>
      </c>
      <c r="F200" s="372"/>
      <c r="G200" s="542" t="s">
        <v>2615</v>
      </c>
      <c r="H200" s="853">
        <f t="shared" ca="1" si="9"/>
        <v>0</v>
      </c>
      <c r="I200" s="661" t="str">
        <f t="shared" ca="1" si="5"/>
        <v/>
      </c>
      <c r="J200" s="661" t="str">
        <f t="shared" ca="1" si="6"/>
        <v/>
      </c>
      <c r="K200" s="661" t="str">
        <f t="shared" ca="1" si="7"/>
        <v/>
      </c>
      <c r="L200" s="661" t="str">
        <f t="shared" ca="1" si="8"/>
        <v/>
      </c>
      <c r="M200" s="260"/>
      <c r="N200" s="273"/>
      <c r="O200" s="274"/>
    </row>
    <row r="201" spans="1:15" ht="13.95" customHeight="1" x14ac:dyDescent="0.25">
      <c r="A201" s="166"/>
      <c r="B201" s="269"/>
      <c r="C201" s="372"/>
      <c r="D201" s="542" t="s">
        <v>2616</v>
      </c>
      <c r="E201" s="856">
        <f ca="1">VLOOKUP($D201,Data!$C$2:$H$384,6,FALSE)</f>
        <v>0</v>
      </c>
      <c r="F201" s="372"/>
      <c r="G201" s="542" t="s">
        <v>2616</v>
      </c>
      <c r="H201" s="853">
        <f t="shared" ca="1" si="9"/>
        <v>0</v>
      </c>
      <c r="I201" s="661" t="str">
        <f t="shared" ca="1" si="5"/>
        <v/>
      </c>
      <c r="J201" s="661" t="str">
        <f t="shared" ca="1" si="6"/>
        <v/>
      </c>
      <c r="K201" s="661" t="str">
        <f t="shared" ca="1" si="7"/>
        <v/>
      </c>
      <c r="L201" s="661" t="str">
        <f t="shared" ca="1" si="8"/>
        <v/>
      </c>
      <c r="M201" s="260"/>
      <c r="N201" s="273"/>
      <c r="O201" s="274"/>
    </row>
    <row r="202" spans="1:15" ht="13.95" customHeight="1" x14ac:dyDescent="0.25">
      <c r="A202" s="166"/>
      <c r="B202" s="269"/>
      <c r="C202" s="372"/>
      <c r="D202" s="542" t="s">
        <v>133</v>
      </c>
      <c r="E202" s="856">
        <f ca="1">VLOOKUP($D202,Data!$C$2:$H$384,6,FALSE)</f>
        <v>0</v>
      </c>
      <c r="F202" s="372"/>
      <c r="G202" s="542" t="s">
        <v>133</v>
      </c>
      <c r="H202" s="853">
        <f t="shared" ca="1" si="9"/>
        <v>0</v>
      </c>
      <c r="I202" s="661" t="str">
        <f t="shared" ca="1" si="5"/>
        <v/>
      </c>
      <c r="J202" s="661" t="str">
        <f t="shared" ca="1" si="6"/>
        <v/>
      </c>
      <c r="K202" s="661" t="str">
        <f t="shared" ca="1" si="7"/>
        <v/>
      </c>
      <c r="L202" s="661" t="str">
        <f t="shared" ca="1" si="8"/>
        <v/>
      </c>
      <c r="M202" s="260"/>
      <c r="N202" s="273"/>
      <c r="O202" s="274"/>
    </row>
    <row r="203" spans="1:15" ht="13.95" customHeight="1" x14ac:dyDescent="0.25">
      <c r="A203" s="166"/>
      <c r="B203" s="269"/>
      <c r="C203" s="372"/>
      <c r="D203" s="542" t="s">
        <v>136</v>
      </c>
      <c r="E203" s="856">
        <f ca="1">VLOOKUP($D203,Data!$C$2:$H$384,6,FALSE)</f>
        <v>0</v>
      </c>
      <c r="F203" s="372"/>
      <c r="G203" s="542" t="s">
        <v>136</v>
      </c>
      <c r="H203" s="853">
        <f t="shared" ca="1" si="9"/>
        <v>0</v>
      </c>
      <c r="I203" s="661" t="str">
        <f t="shared" ca="1" si="5"/>
        <v/>
      </c>
      <c r="J203" s="661" t="str">
        <f t="shared" ca="1" si="6"/>
        <v/>
      </c>
      <c r="K203" s="661" t="str">
        <f t="shared" ca="1" si="7"/>
        <v/>
      </c>
      <c r="L203" s="661" t="str">
        <f t="shared" ca="1" si="8"/>
        <v/>
      </c>
      <c r="M203" s="260"/>
      <c r="N203" s="273"/>
      <c r="O203" s="274"/>
    </row>
    <row r="204" spans="1:15" ht="13.95" customHeight="1" x14ac:dyDescent="0.25">
      <c r="A204" s="166"/>
      <c r="B204" s="269"/>
      <c r="C204" s="372"/>
      <c r="D204" s="542" t="s">
        <v>139</v>
      </c>
      <c r="E204" s="856">
        <f ca="1">VLOOKUP($D204,Data!$C$2:$H$384,6,FALSE)</f>
        <v>0</v>
      </c>
      <c r="F204" s="372"/>
      <c r="G204" s="542" t="s">
        <v>139</v>
      </c>
      <c r="H204" s="853">
        <f t="shared" ca="1" si="9"/>
        <v>0</v>
      </c>
      <c r="I204" s="661" t="str">
        <f t="shared" ca="1" si="5"/>
        <v/>
      </c>
      <c r="J204" s="661" t="str">
        <f t="shared" ca="1" si="6"/>
        <v/>
      </c>
      <c r="K204" s="661" t="str">
        <f t="shared" ca="1" si="7"/>
        <v/>
      </c>
      <c r="L204" s="661" t="str">
        <f t="shared" ca="1" si="8"/>
        <v/>
      </c>
      <c r="M204" s="260"/>
      <c r="N204" s="273"/>
      <c r="O204" s="274"/>
    </row>
    <row r="205" spans="1:15" ht="13.95" customHeight="1" x14ac:dyDescent="0.25">
      <c r="A205" s="166"/>
      <c r="B205" s="269"/>
      <c r="C205" s="372"/>
      <c r="D205" s="542" t="s">
        <v>141</v>
      </c>
      <c r="E205" s="856">
        <f ca="1">VLOOKUP($D205,Data!$C$2:$H$384,6,FALSE)</f>
        <v>0</v>
      </c>
      <c r="F205" s="372"/>
      <c r="G205" s="542" t="s">
        <v>141</v>
      </c>
      <c r="H205" s="853">
        <f t="shared" ca="1" si="9"/>
        <v>0</v>
      </c>
      <c r="I205" s="661" t="str">
        <f t="shared" ca="1" si="5"/>
        <v/>
      </c>
      <c r="J205" s="661" t="str">
        <f t="shared" ca="1" si="6"/>
        <v/>
      </c>
      <c r="K205" s="661" t="str">
        <f t="shared" ca="1" si="7"/>
        <v/>
      </c>
      <c r="L205" s="661" t="str">
        <f t="shared" ca="1" si="8"/>
        <v/>
      </c>
      <c r="M205" s="260"/>
      <c r="N205" s="273"/>
      <c r="O205" s="274"/>
    </row>
    <row r="206" spans="1:15" ht="13.95" customHeight="1" x14ac:dyDescent="0.25">
      <c r="A206" s="166"/>
      <c r="B206" s="269"/>
      <c r="C206" s="372"/>
      <c r="D206" s="542" t="s">
        <v>143</v>
      </c>
      <c r="E206" s="856">
        <f ca="1">VLOOKUP($D206,Data!$C$2:$H$384,6,FALSE)</f>
        <v>0</v>
      </c>
      <c r="F206" s="372"/>
      <c r="G206" s="542" t="s">
        <v>143</v>
      </c>
      <c r="H206" s="853">
        <f t="shared" ca="1" si="9"/>
        <v>0</v>
      </c>
      <c r="I206" s="661" t="str">
        <f t="shared" ca="1" si="5"/>
        <v/>
      </c>
      <c r="J206" s="661" t="str">
        <f t="shared" ca="1" si="6"/>
        <v/>
      </c>
      <c r="K206" s="661" t="str">
        <f t="shared" ca="1" si="7"/>
        <v/>
      </c>
      <c r="L206" s="661" t="str">
        <f t="shared" ca="1" si="8"/>
        <v/>
      </c>
      <c r="M206" s="260"/>
      <c r="N206" s="273"/>
      <c r="O206" s="274"/>
    </row>
    <row r="207" spans="1:15" ht="13.95" customHeight="1" x14ac:dyDescent="0.25">
      <c r="A207" s="166"/>
      <c r="B207" s="269"/>
      <c r="C207" s="372"/>
      <c r="D207" s="542" t="s">
        <v>145</v>
      </c>
      <c r="E207" s="856">
        <f ca="1">VLOOKUP($D207,Data!$C$2:$H$384,6,FALSE)</f>
        <v>0</v>
      </c>
      <c r="F207" s="372"/>
      <c r="G207" s="542" t="s">
        <v>145</v>
      </c>
      <c r="H207" s="853">
        <f t="shared" ca="1" si="9"/>
        <v>0</v>
      </c>
      <c r="I207" s="661" t="str">
        <f t="shared" ref="I207:I270" ca="1" si="10">IF(VLOOKUP(RIGHT($G207,LEN($G207)-FIND("-",$G207)), INDIRECT("'"&amp;LEFT($G207,FIND("-",$G207)-1)&amp;"'!"&amp;"$D:$K"), 5,FALSE) = 0, "",
VLOOKUP(RIGHT($G207,LEN($G207)-FIND("-",$G207)), INDIRECT("'"&amp;LEFT($G207,FIND("-",$G207)-1)&amp;"'!"&amp;"$D:$K"), 5,FALSE) )</f>
        <v/>
      </c>
      <c r="J207" s="661" t="str">
        <f t="shared" ref="J207:J270" ca="1" si="11">IF(VLOOKUP(RIGHT($G207,LEN($G207)-FIND("-",$G207)), INDIRECT("'"&amp;LEFT($G207,FIND("-",$G207)-1)&amp;"'!"&amp;"$D:$K"), 6,FALSE) = 0, "",
VLOOKUP(RIGHT($G207,LEN($G207)-FIND("-",$G207)), INDIRECT("'"&amp;LEFT($G207,FIND("-",$G207)-1)&amp;"'!"&amp;"$D:$K"), 6,FALSE) )</f>
        <v/>
      </c>
      <c r="K207" s="661" t="str">
        <f t="shared" ref="K207:K270" ca="1" si="12">IF(VLOOKUP(RIGHT($G207,LEN($G207)-FIND("-",$G207)), INDIRECT("'"&amp;LEFT($G207,FIND("-",$G207)-1)&amp;"'!"&amp;"$D:$K"), 7,FALSE) = 0, "",
VLOOKUP(RIGHT($G207,LEN($G207)-FIND("-",$G207)), INDIRECT("'"&amp;LEFT($G207,FIND("-",$G207)-1)&amp;"'!"&amp;"$D:$K"), 7,FALSE) )</f>
        <v/>
      </c>
      <c r="L207" s="661" t="str">
        <f t="shared" ref="L207:L270" ca="1" si="13">IF(VLOOKUP(RIGHT($G207,LEN($G207)-FIND("-",$G207)), INDIRECT("'"&amp;LEFT($G207,FIND("-",$G207)-1)&amp;"'!"&amp;"$D:$K"), 8,FALSE) = 0, "",
VLOOKUP(RIGHT($G207,LEN($G207)-FIND("-",$G207)), INDIRECT("'"&amp;LEFT($G207,FIND("-",$G207)-1)&amp;"'!"&amp;"$D:$K"), 8,FALSE) )</f>
        <v/>
      </c>
      <c r="M207" s="260"/>
      <c r="N207" s="273"/>
      <c r="O207" s="274"/>
    </row>
    <row r="208" spans="1:15" ht="13.95" customHeight="1" x14ac:dyDescent="0.25">
      <c r="A208" s="166"/>
      <c r="B208" s="269"/>
      <c r="C208" s="372"/>
      <c r="D208" s="542" t="s">
        <v>362</v>
      </c>
      <c r="E208" s="856">
        <f ca="1">VLOOKUP($D208,Data!$C$2:$H$384,6,FALSE)</f>
        <v>0</v>
      </c>
      <c r="F208" s="372"/>
      <c r="G208" s="542" t="s">
        <v>362</v>
      </c>
      <c r="H208" s="853">
        <f t="shared" ref="H208:H271" ca="1" si="14">INT(LEFT(
VLOOKUP(RIGHT($G208,LEN($G208)-FIND("-",$G208)), INDIRECT("'"&amp;LEFT($G208,FIND("-",$G208)-1)&amp;"'!"&amp;"$D:$K"), 4,FALSE), 1)
)</f>
        <v>0</v>
      </c>
      <c r="I208" s="661" t="str">
        <f t="shared" ca="1" si="10"/>
        <v/>
      </c>
      <c r="J208" s="661" t="str">
        <f t="shared" ca="1" si="11"/>
        <v/>
      </c>
      <c r="K208" s="661" t="str">
        <f t="shared" ca="1" si="12"/>
        <v/>
      </c>
      <c r="L208" s="661" t="str">
        <f t="shared" ca="1" si="13"/>
        <v/>
      </c>
      <c r="M208" s="260"/>
      <c r="N208" s="273"/>
      <c r="O208" s="274"/>
    </row>
    <row r="209" spans="1:15" ht="13.95" customHeight="1" x14ac:dyDescent="0.25">
      <c r="A209" s="166"/>
      <c r="B209" s="269"/>
      <c r="C209" s="372"/>
      <c r="D209" s="542" t="s">
        <v>363</v>
      </c>
      <c r="E209" s="856">
        <f ca="1">VLOOKUP($D209,Data!$C$2:$H$384,6,FALSE)</f>
        <v>0</v>
      </c>
      <c r="F209" s="372"/>
      <c r="G209" s="542" t="s">
        <v>363</v>
      </c>
      <c r="H209" s="853">
        <f t="shared" ca="1" si="14"/>
        <v>0</v>
      </c>
      <c r="I209" s="661" t="str">
        <f t="shared" ca="1" si="10"/>
        <v/>
      </c>
      <c r="J209" s="661" t="str">
        <f t="shared" ca="1" si="11"/>
        <v/>
      </c>
      <c r="K209" s="661" t="str">
        <f t="shared" ca="1" si="12"/>
        <v/>
      </c>
      <c r="L209" s="661" t="str">
        <f t="shared" ca="1" si="13"/>
        <v/>
      </c>
      <c r="M209" s="260"/>
      <c r="N209" s="273"/>
      <c r="O209" s="274"/>
    </row>
    <row r="210" spans="1:15" ht="13.95" customHeight="1" x14ac:dyDescent="0.25">
      <c r="A210" s="166"/>
      <c r="B210" s="269"/>
      <c r="C210" s="372"/>
      <c r="D210" s="542" t="s">
        <v>364</v>
      </c>
      <c r="E210" s="856">
        <f ca="1">VLOOKUP($D210,Data!$C$2:$H$384,6,FALSE)</f>
        <v>0</v>
      </c>
      <c r="F210" s="372"/>
      <c r="G210" s="542" t="s">
        <v>364</v>
      </c>
      <c r="H210" s="853">
        <f t="shared" ca="1" si="14"/>
        <v>0</v>
      </c>
      <c r="I210" s="661" t="str">
        <f t="shared" ca="1" si="10"/>
        <v/>
      </c>
      <c r="J210" s="661" t="str">
        <f t="shared" ca="1" si="11"/>
        <v/>
      </c>
      <c r="K210" s="661" t="str">
        <f t="shared" ca="1" si="12"/>
        <v/>
      </c>
      <c r="L210" s="661" t="str">
        <f t="shared" ca="1" si="13"/>
        <v/>
      </c>
      <c r="M210" s="260"/>
      <c r="N210" s="273"/>
      <c r="O210" s="274"/>
    </row>
    <row r="211" spans="1:15" ht="13.95" customHeight="1" x14ac:dyDescent="0.25">
      <c r="A211" s="166"/>
      <c r="B211" s="269"/>
      <c r="C211" s="372"/>
      <c r="D211" s="542" t="s">
        <v>365</v>
      </c>
      <c r="E211" s="856">
        <f ca="1">VLOOKUP($D211,Data!$C$2:$H$384,6,FALSE)</f>
        <v>0</v>
      </c>
      <c r="F211" s="372"/>
      <c r="G211" s="542" t="s">
        <v>365</v>
      </c>
      <c r="H211" s="853">
        <f t="shared" ca="1" si="14"/>
        <v>0</v>
      </c>
      <c r="I211" s="661" t="str">
        <f t="shared" ca="1" si="10"/>
        <v/>
      </c>
      <c r="J211" s="661" t="str">
        <f t="shared" ca="1" si="11"/>
        <v/>
      </c>
      <c r="K211" s="661" t="str">
        <f t="shared" ca="1" si="12"/>
        <v/>
      </c>
      <c r="L211" s="661" t="str">
        <f t="shared" ca="1" si="13"/>
        <v/>
      </c>
      <c r="M211" s="260"/>
      <c r="N211" s="273"/>
      <c r="O211" s="274"/>
    </row>
    <row r="212" spans="1:15" ht="13.95" customHeight="1" x14ac:dyDescent="0.25">
      <c r="A212" s="166"/>
      <c r="B212" s="269"/>
      <c r="C212" s="372"/>
      <c r="D212" s="542" t="s">
        <v>366</v>
      </c>
      <c r="E212" s="856">
        <f ca="1">VLOOKUP($D212,Data!$C$2:$H$384,6,FALSE)</f>
        <v>0</v>
      </c>
      <c r="F212" s="372"/>
      <c r="G212" s="542" t="s">
        <v>366</v>
      </c>
      <c r="H212" s="853">
        <f t="shared" ca="1" si="14"/>
        <v>0</v>
      </c>
      <c r="I212" s="661" t="str">
        <f t="shared" ca="1" si="10"/>
        <v/>
      </c>
      <c r="J212" s="661" t="str">
        <f t="shared" ca="1" si="11"/>
        <v/>
      </c>
      <c r="K212" s="661" t="str">
        <f t="shared" ca="1" si="12"/>
        <v/>
      </c>
      <c r="L212" s="661" t="str">
        <f t="shared" ca="1" si="13"/>
        <v/>
      </c>
      <c r="M212" s="260"/>
      <c r="N212" s="273"/>
      <c r="O212" s="274"/>
    </row>
    <row r="213" spans="1:15" ht="13.95" customHeight="1" x14ac:dyDescent="0.25">
      <c r="A213" s="166"/>
      <c r="B213" s="269"/>
      <c r="C213" s="372"/>
      <c r="D213" s="542" t="s">
        <v>367</v>
      </c>
      <c r="E213" s="856">
        <f ca="1">VLOOKUP($D213,Data!$C$2:$H$384,6,FALSE)</f>
        <v>0</v>
      </c>
      <c r="F213" s="372"/>
      <c r="G213" s="542" t="s">
        <v>367</v>
      </c>
      <c r="H213" s="853">
        <f t="shared" ca="1" si="14"/>
        <v>0</v>
      </c>
      <c r="I213" s="661" t="str">
        <f t="shared" ca="1" si="10"/>
        <v/>
      </c>
      <c r="J213" s="661" t="str">
        <f t="shared" ca="1" si="11"/>
        <v/>
      </c>
      <c r="K213" s="661" t="str">
        <f t="shared" ca="1" si="12"/>
        <v/>
      </c>
      <c r="L213" s="661" t="str">
        <f t="shared" ca="1" si="13"/>
        <v/>
      </c>
      <c r="M213" s="260"/>
      <c r="N213" s="273"/>
      <c r="O213" s="274"/>
    </row>
    <row r="214" spans="1:15" ht="13.95" customHeight="1" x14ac:dyDescent="0.25">
      <c r="A214" s="166"/>
      <c r="B214" s="269"/>
      <c r="C214" s="372"/>
      <c r="D214" s="542" t="s">
        <v>368</v>
      </c>
      <c r="E214" s="856">
        <f ca="1">VLOOKUP($D214,Data!$C$2:$H$384,6,FALSE)</f>
        <v>0</v>
      </c>
      <c r="F214" s="372"/>
      <c r="G214" s="542" t="s">
        <v>368</v>
      </c>
      <c r="H214" s="853">
        <f t="shared" ca="1" si="14"/>
        <v>0</v>
      </c>
      <c r="I214" s="661" t="str">
        <f t="shared" ca="1" si="10"/>
        <v/>
      </c>
      <c r="J214" s="661" t="str">
        <f t="shared" ca="1" si="11"/>
        <v/>
      </c>
      <c r="K214" s="661" t="str">
        <f t="shared" ca="1" si="12"/>
        <v/>
      </c>
      <c r="L214" s="661" t="str">
        <f t="shared" ca="1" si="13"/>
        <v/>
      </c>
      <c r="M214" s="260"/>
      <c r="N214" s="273"/>
      <c r="O214" s="274"/>
    </row>
    <row r="215" spans="1:15" ht="13.95" customHeight="1" x14ac:dyDescent="0.25">
      <c r="A215" s="166"/>
      <c r="B215" s="269"/>
      <c r="C215" s="372"/>
      <c r="D215" s="542" t="s">
        <v>369</v>
      </c>
      <c r="E215" s="856">
        <f ca="1">VLOOKUP($D215,Data!$C$2:$H$384,6,FALSE)</f>
        <v>0</v>
      </c>
      <c r="F215" s="372"/>
      <c r="G215" s="542" t="s">
        <v>369</v>
      </c>
      <c r="H215" s="853">
        <f t="shared" ca="1" si="14"/>
        <v>0</v>
      </c>
      <c r="I215" s="661" t="str">
        <f t="shared" ca="1" si="10"/>
        <v/>
      </c>
      <c r="J215" s="661" t="str">
        <f t="shared" ca="1" si="11"/>
        <v/>
      </c>
      <c r="K215" s="661" t="str">
        <f t="shared" ca="1" si="12"/>
        <v/>
      </c>
      <c r="L215" s="661" t="str">
        <f t="shared" ca="1" si="13"/>
        <v/>
      </c>
      <c r="M215" s="260"/>
      <c r="N215" s="273"/>
      <c r="O215" s="274"/>
    </row>
    <row r="216" spans="1:15" ht="13.95" customHeight="1" x14ac:dyDescent="0.25">
      <c r="A216" s="166"/>
      <c r="B216" s="269"/>
      <c r="C216" s="372"/>
      <c r="D216" s="542" t="s">
        <v>370</v>
      </c>
      <c r="E216" s="856">
        <f ca="1">VLOOKUP($D216,Data!$C$2:$H$384,6,FALSE)</f>
        <v>0</v>
      </c>
      <c r="F216" s="372"/>
      <c r="G216" s="542" t="s">
        <v>370</v>
      </c>
      <c r="H216" s="853">
        <f t="shared" ca="1" si="14"/>
        <v>0</v>
      </c>
      <c r="I216" s="661" t="str">
        <f t="shared" ca="1" si="10"/>
        <v/>
      </c>
      <c r="J216" s="661" t="str">
        <f t="shared" ca="1" si="11"/>
        <v/>
      </c>
      <c r="K216" s="661" t="str">
        <f t="shared" ca="1" si="12"/>
        <v/>
      </c>
      <c r="L216" s="661" t="str">
        <f t="shared" ca="1" si="13"/>
        <v/>
      </c>
      <c r="M216" s="260"/>
      <c r="N216" s="273"/>
      <c r="O216" s="274"/>
    </row>
    <row r="217" spans="1:15" ht="13.95" customHeight="1" x14ac:dyDescent="0.25">
      <c r="A217" s="166"/>
      <c r="B217" s="269"/>
      <c r="C217" s="372"/>
      <c r="D217" s="542" t="s">
        <v>371</v>
      </c>
      <c r="E217" s="856">
        <f ca="1">VLOOKUP($D217,Data!$C$2:$H$384,6,FALSE)</f>
        <v>0</v>
      </c>
      <c r="F217" s="372"/>
      <c r="G217" s="542" t="s">
        <v>371</v>
      </c>
      <c r="H217" s="853">
        <f t="shared" ca="1" si="14"/>
        <v>0</v>
      </c>
      <c r="I217" s="661" t="str">
        <f t="shared" ca="1" si="10"/>
        <v/>
      </c>
      <c r="J217" s="661" t="str">
        <f t="shared" ca="1" si="11"/>
        <v/>
      </c>
      <c r="K217" s="661" t="str">
        <f t="shared" ca="1" si="12"/>
        <v/>
      </c>
      <c r="L217" s="661" t="str">
        <f t="shared" ca="1" si="13"/>
        <v/>
      </c>
      <c r="M217" s="260"/>
      <c r="N217" s="273"/>
      <c r="O217" s="274"/>
    </row>
    <row r="218" spans="1:15" ht="13.95" customHeight="1" x14ac:dyDescent="0.25">
      <c r="A218" s="166"/>
      <c r="B218" s="269"/>
      <c r="C218" s="372"/>
      <c r="D218" s="542" t="s">
        <v>372</v>
      </c>
      <c r="E218" s="856">
        <f ca="1">VLOOKUP($D218,Data!$C$2:$H$384,6,FALSE)</f>
        <v>0</v>
      </c>
      <c r="F218" s="372"/>
      <c r="G218" s="542" t="s">
        <v>372</v>
      </c>
      <c r="H218" s="853">
        <f t="shared" ca="1" si="14"/>
        <v>0</v>
      </c>
      <c r="I218" s="661" t="str">
        <f t="shared" ca="1" si="10"/>
        <v/>
      </c>
      <c r="J218" s="661" t="str">
        <f t="shared" ca="1" si="11"/>
        <v/>
      </c>
      <c r="K218" s="661" t="str">
        <f t="shared" ca="1" si="12"/>
        <v/>
      </c>
      <c r="L218" s="661" t="str">
        <f t="shared" ca="1" si="13"/>
        <v/>
      </c>
      <c r="M218" s="260"/>
      <c r="N218" s="273"/>
      <c r="O218" s="274"/>
    </row>
    <row r="219" spans="1:15" ht="13.95" customHeight="1" x14ac:dyDescent="0.25">
      <c r="A219" s="166"/>
      <c r="B219" s="269"/>
      <c r="C219" s="372"/>
      <c r="D219" s="542" t="s">
        <v>373</v>
      </c>
      <c r="E219" s="856">
        <f ca="1">VLOOKUP($D219,Data!$C$2:$H$384,6,FALSE)</f>
        <v>0</v>
      </c>
      <c r="F219" s="372"/>
      <c r="G219" s="542" t="s">
        <v>373</v>
      </c>
      <c r="H219" s="853">
        <f t="shared" ca="1" si="14"/>
        <v>0</v>
      </c>
      <c r="I219" s="661" t="str">
        <f t="shared" ca="1" si="10"/>
        <v/>
      </c>
      <c r="J219" s="661" t="str">
        <f t="shared" ca="1" si="11"/>
        <v/>
      </c>
      <c r="K219" s="661" t="str">
        <f t="shared" ca="1" si="12"/>
        <v/>
      </c>
      <c r="L219" s="661" t="str">
        <f t="shared" ca="1" si="13"/>
        <v/>
      </c>
      <c r="M219" s="260"/>
      <c r="N219" s="273"/>
      <c r="O219" s="274"/>
    </row>
    <row r="220" spans="1:15" ht="13.95" customHeight="1" x14ac:dyDescent="0.25">
      <c r="A220" s="166"/>
      <c r="B220" s="269"/>
      <c r="C220" s="372"/>
      <c r="D220" s="542" t="s">
        <v>374</v>
      </c>
      <c r="E220" s="856">
        <f ca="1">VLOOKUP($D220,Data!$C$2:$H$384,6,FALSE)</f>
        <v>0</v>
      </c>
      <c r="F220" s="372"/>
      <c r="G220" s="542" t="s">
        <v>374</v>
      </c>
      <c r="H220" s="853">
        <f t="shared" ca="1" si="14"/>
        <v>0</v>
      </c>
      <c r="I220" s="661" t="str">
        <f t="shared" ca="1" si="10"/>
        <v/>
      </c>
      <c r="J220" s="661" t="str">
        <f t="shared" ca="1" si="11"/>
        <v/>
      </c>
      <c r="K220" s="661" t="str">
        <f t="shared" ca="1" si="12"/>
        <v/>
      </c>
      <c r="L220" s="661" t="str">
        <f t="shared" ca="1" si="13"/>
        <v/>
      </c>
      <c r="M220" s="260"/>
      <c r="N220" s="273"/>
      <c r="O220" s="274"/>
    </row>
    <row r="221" spans="1:15" ht="13.95" customHeight="1" x14ac:dyDescent="0.25">
      <c r="A221" s="166"/>
      <c r="B221" s="269"/>
      <c r="C221" s="372"/>
      <c r="D221" s="542" t="s">
        <v>375</v>
      </c>
      <c r="E221" s="856">
        <f ca="1">VLOOKUP($D221,Data!$C$2:$H$384,6,FALSE)</f>
        <v>0</v>
      </c>
      <c r="F221" s="372"/>
      <c r="G221" s="542" t="s">
        <v>375</v>
      </c>
      <c r="H221" s="853">
        <f t="shared" ca="1" si="14"/>
        <v>0</v>
      </c>
      <c r="I221" s="661" t="str">
        <f t="shared" ca="1" si="10"/>
        <v/>
      </c>
      <c r="J221" s="661" t="str">
        <f t="shared" ca="1" si="11"/>
        <v/>
      </c>
      <c r="K221" s="661" t="str">
        <f t="shared" ca="1" si="12"/>
        <v/>
      </c>
      <c r="L221" s="661" t="str">
        <f t="shared" ca="1" si="13"/>
        <v/>
      </c>
      <c r="M221" s="260"/>
      <c r="N221" s="273"/>
      <c r="O221" s="274"/>
    </row>
    <row r="222" spans="1:15" ht="13.95" customHeight="1" x14ac:dyDescent="0.25">
      <c r="A222" s="166"/>
      <c r="B222" s="269"/>
      <c r="C222" s="372"/>
      <c r="D222" s="542" t="s">
        <v>376</v>
      </c>
      <c r="E222" s="856">
        <f ca="1">VLOOKUP($D222,Data!$C$2:$H$384,6,FALSE)</f>
        <v>0</v>
      </c>
      <c r="F222" s="372"/>
      <c r="G222" s="542" t="s">
        <v>376</v>
      </c>
      <c r="H222" s="853">
        <f t="shared" ca="1" si="14"/>
        <v>0</v>
      </c>
      <c r="I222" s="661" t="str">
        <f t="shared" ca="1" si="10"/>
        <v/>
      </c>
      <c r="J222" s="661" t="str">
        <f t="shared" ca="1" si="11"/>
        <v/>
      </c>
      <c r="K222" s="661" t="str">
        <f t="shared" ca="1" si="12"/>
        <v/>
      </c>
      <c r="L222" s="661" t="str">
        <f t="shared" ca="1" si="13"/>
        <v/>
      </c>
      <c r="M222" s="260"/>
      <c r="N222" s="273"/>
      <c r="O222" s="274"/>
    </row>
    <row r="223" spans="1:15" ht="13.95" customHeight="1" x14ac:dyDescent="0.25">
      <c r="A223" s="166"/>
      <c r="B223" s="269"/>
      <c r="C223" s="372"/>
      <c r="D223" s="542" t="s">
        <v>377</v>
      </c>
      <c r="E223" s="856">
        <f ca="1">VLOOKUP($D223,Data!$C$2:$H$384,6,FALSE)</f>
        <v>0</v>
      </c>
      <c r="F223" s="372"/>
      <c r="G223" s="542" t="s">
        <v>377</v>
      </c>
      <c r="H223" s="853">
        <f t="shared" ca="1" si="14"/>
        <v>0</v>
      </c>
      <c r="I223" s="661" t="str">
        <f t="shared" ca="1" si="10"/>
        <v/>
      </c>
      <c r="J223" s="661" t="str">
        <f t="shared" ca="1" si="11"/>
        <v/>
      </c>
      <c r="K223" s="661" t="str">
        <f t="shared" ca="1" si="12"/>
        <v/>
      </c>
      <c r="L223" s="661" t="str">
        <f t="shared" ca="1" si="13"/>
        <v/>
      </c>
      <c r="M223" s="260"/>
      <c r="N223" s="273"/>
      <c r="O223" s="274"/>
    </row>
    <row r="224" spans="1:15" ht="13.95" customHeight="1" x14ac:dyDescent="0.25">
      <c r="A224" s="166"/>
      <c r="B224" s="269"/>
      <c r="C224" s="372"/>
      <c r="D224" s="542" t="s">
        <v>378</v>
      </c>
      <c r="E224" s="856">
        <f ca="1">VLOOKUP($D224,Data!$C$2:$H$384,6,FALSE)</f>
        <v>0</v>
      </c>
      <c r="F224" s="372"/>
      <c r="G224" s="542" t="s">
        <v>378</v>
      </c>
      <c r="H224" s="853">
        <f t="shared" ca="1" si="14"/>
        <v>0</v>
      </c>
      <c r="I224" s="661" t="str">
        <f t="shared" ca="1" si="10"/>
        <v/>
      </c>
      <c r="J224" s="661" t="str">
        <f t="shared" ca="1" si="11"/>
        <v/>
      </c>
      <c r="K224" s="661" t="str">
        <f t="shared" ca="1" si="12"/>
        <v/>
      </c>
      <c r="L224" s="661" t="str">
        <f t="shared" ca="1" si="13"/>
        <v/>
      </c>
      <c r="M224" s="260"/>
      <c r="N224" s="273"/>
      <c r="O224" s="274"/>
    </row>
    <row r="225" spans="1:15" ht="13.95" customHeight="1" x14ac:dyDescent="0.25">
      <c r="A225" s="166"/>
      <c r="B225" s="269"/>
      <c r="C225" s="372"/>
      <c r="D225" s="542" t="s">
        <v>379</v>
      </c>
      <c r="E225" s="856">
        <f ca="1">VLOOKUP($D225,Data!$C$2:$H$384,6,FALSE)</f>
        <v>0</v>
      </c>
      <c r="F225" s="372"/>
      <c r="G225" s="542" t="s">
        <v>379</v>
      </c>
      <c r="H225" s="853">
        <f t="shared" ca="1" si="14"/>
        <v>0</v>
      </c>
      <c r="I225" s="661" t="str">
        <f t="shared" ca="1" si="10"/>
        <v/>
      </c>
      <c r="J225" s="661" t="str">
        <f t="shared" ca="1" si="11"/>
        <v/>
      </c>
      <c r="K225" s="661" t="str">
        <f t="shared" ca="1" si="12"/>
        <v/>
      </c>
      <c r="L225" s="661" t="str">
        <f t="shared" ca="1" si="13"/>
        <v/>
      </c>
      <c r="M225" s="260"/>
      <c r="N225" s="273"/>
      <c r="O225" s="274"/>
    </row>
    <row r="226" spans="1:15" ht="13.95" customHeight="1" x14ac:dyDescent="0.25">
      <c r="A226" s="166"/>
      <c r="B226" s="269"/>
      <c r="C226" s="372"/>
      <c r="D226" s="542" t="s">
        <v>380</v>
      </c>
      <c r="E226" s="856">
        <f ca="1">VLOOKUP($D226,Data!$C$2:$H$384,6,FALSE)</f>
        <v>0</v>
      </c>
      <c r="F226" s="372"/>
      <c r="G226" s="542" t="s">
        <v>380</v>
      </c>
      <c r="H226" s="853">
        <f t="shared" ca="1" si="14"/>
        <v>0</v>
      </c>
      <c r="I226" s="661" t="str">
        <f t="shared" ca="1" si="10"/>
        <v/>
      </c>
      <c r="J226" s="661" t="str">
        <f t="shared" ca="1" si="11"/>
        <v/>
      </c>
      <c r="K226" s="661" t="str">
        <f t="shared" ca="1" si="12"/>
        <v/>
      </c>
      <c r="L226" s="661" t="str">
        <f t="shared" ca="1" si="13"/>
        <v/>
      </c>
      <c r="M226" s="260"/>
      <c r="N226" s="273"/>
      <c r="O226" s="274"/>
    </row>
    <row r="227" spans="1:15" ht="13.95" customHeight="1" x14ac:dyDescent="0.25">
      <c r="A227" s="166"/>
      <c r="B227" s="269"/>
      <c r="C227" s="372"/>
      <c r="D227" s="542" t="s">
        <v>381</v>
      </c>
      <c r="E227" s="856">
        <f ca="1">VLOOKUP($D227,Data!$C$2:$H$384,6,FALSE)</f>
        <v>0</v>
      </c>
      <c r="F227" s="372"/>
      <c r="G227" s="542" t="s">
        <v>381</v>
      </c>
      <c r="H227" s="853">
        <f t="shared" ca="1" si="14"/>
        <v>0</v>
      </c>
      <c r="I227" s="661" t="str">
        <f t="shared" ca="1" si="10"/>
        <v/>
      </c>
      <c r="J227" s="661" t="str">
        <f t="shared" ca="1" si="11"/>
        <v/>
      </c>
      <c r="K227" s="661" t="str">
        <f t="shared" ca="1" si="12"/>
        <v/>
      </c>
      <c r="L227" s="661" t="str">
        <f t="shared" ca="1" si="13"/>
        <v/>
      </c>
      <c r="M227" s="260"/>
      <c r="N227" s="273"/>
      <c r="O227" s="274"/>
    </row>
    <row r="228" spans="1:15" ht="13.95" customHeight="1" x14ac:dyDescent="0.25">
      <c r="A228" s="166"/>
      <c r="B228" s="269"/>
      <c r="C228" s="372"/>
      <c r="D228" s="542" t="s">
        <v>382</v>
      </c>
      <c r="E228" s="856">
        <f ca="1">VLOOKUP($D228,Data!$C$2:$H$384,6,FALSE)</f>
        <v>0</v>
      </c>
      <c r="F228" s="372"/>
      <c r="G228" s="542" t="s">
        <v>382</v>
      </c>
      <c r="H228" s="853">
        <f t="shared" ca="1" si="14"/>
        <v>0</v>
      </c>
      <c r="I228" s="661" t="str">
        <f t="shared" ca="1" si="10"/>
        <v/>
      </c>
      <c r="J228" s="661" t="str">
        <f t="shared" ca="1" si="11"/>
        <v/>
      </c>
      <c r="K228" s="661" t="str">
        <f t="shared" ca="1" si="12"/>
        <v/>
      </c>
      <c r="L228" s="661" t="str">
        <f t="shared" ca="1" si="13"/>
        <v/>
      </c>
      <c r="M228" s="260"/>
      <c r="N228" s="273"/>
      <c r="O228" s="274"/>
    </row>
    <row r="229" spans="1:15" ht="13.95" customHeight="1" x14ac:dyDescent="0.25">
      <c r="A229" s="166"/>
      <c r="B229" s="269"/>
      <c r="C229" s="372"/>
      <c r="D229" s="542" t="s">
        <v>383</v>
      </c>
      <c r="E229" s="856">
        <f ca="1">VLOOKUP($D229,Data!$C$2:$H$384,6,FALSE)</f>
        <v>0</v>
      </c>
      <c r="F229" s="372"/>
      <c r="G229" s="542" t="s">
        <v>383</v>
      </c>
      <c r="H229" s="853">
        <f t="shared" ca="1" si="14"/>
        <v>0</v>
      </c>
      <c r="I229" s="661" t="str">
        <f t="shared" ca="1" si="10"/>
        <v/>
      </c>
      <c r="J229" s="661" t="str">
        <f t="shared" ca="1" si="11"/>
        <v/>
      </c>
      <c r="K229" s="661" t="str">
        <f t="shared" ca="1" si="12"/>
        <v/>
      </c>
      <c r="L229" s="661" t="str">
        <f t="shared" ca="1" si="13"/>
        <v/>
      </c>
      <c r="M229" s="260"/>
      <c r="N229" s="273"/>
      <c r="O229" s="274"/>
    </row>
    <row r="230" spans="1:15" ht="13.95" customHeight="1" x14ac:dyDescent="0.25">
      <c r="A230" s="166"/>
      <c r="B230" s="269"/>
      <c r="C230" s="372"/>
      <c r="D230" s="542" t="s">
        <v>384</v>
      </c>
      <c r="E230" s="856">
        <f ca="1">VLOOKUP($D230,Data!$C$2:$H$384,6,FALSE)</f>
        <v>0</v>
      </c>
      <c r="F230" s="372"/>
      <c r="G230" s="542" t="s">
        <v>384</v>
      </c>
      <c r="H230" s="853">
        <f t="shared" ca="1" si="14"/>
        <v>0</v>
      </c>
      <c r="I230" s="661" t="str">
        <f t="shared" ca="1" si="10"/>
        <v/>
      </c>
      <c r="J230" s="661" t="str">
        <f t="shared" ca="1" si="11"/>
        <v/>
      </c>
      <c r="K230" s="661" t="str">
        <f t="shared" ca="1" si="12"/>
        <v/>
      </c>
      <c r="L230" s="661" t="str">
        <f t="shared" ca="1" si="13"/>
        <v/>
      </c>
      <c r="M230" s="260"/>
      <c r="N230" s="273"/>
      <c r="O230" s="274"/>
    </row>
    <row r="231" spans="1:15" ht="13.95" customHeight="1" x14ac:dyDescent="0.25">
      <c r="A231" s="166"/>
      <c r="B231" s="269"/>
      <c r="C231" s="372"/>
      <c r="D231" s="542" t="s">
        <v>385</v>
      </c>
      <c r="E231" s="856">
        <f ca="1">VLOOKUP($D231,Data!$C$2:$H$384,6,FALSE)</f>
        <v>0</v>
      </c>
      <c r="F231" s="372"/>
      <c r="G231" s="542" t="s">
        <v>385</v>
      </c>
      <c r="H231" s="853">
        <f t="shared" ca="1" si="14"/>
        <v>0</v>
      </c>
      <c r="I231" s="661" t="str">
        <f t="shared" ca="1" si="10"/>
        <v/>
      </c>
      <c r="J231" s="661" t="str">
        <f t="shared" ca="1" si="11"/>
        <v/>
      </c>
      <c r="K231" s="661" t="str">
        <f t="shared" ca="1" si="12"/>
        <v/>
      </c>
      <c r="L231" s="661" t="str">
        <f t="shared" ca="1" si="13"/>
        <v/>
      </c>
      <c r="M231" s="260"/>
      <c r="N231" s="273"/>
      <c r="O231" s="274"/>
    </row>
    <row r="232" spans="1:15" ht="13.95" customHeight="1" x14ac:dyDescent="0.25">
      <c r="A232" s="166"/>
      <c r="B232" s="269"/>
      <c r="C232" s="372"/>
      <c r="D232" s="542" t="s">
        <v>386</v>
      </c>
      <c r="E232" s="856">
        <f ca="1">VLOOKUP($D232,Data!$C$2:$H$384,6,FALSE)</f>
        <v>0</v>
      </c>
      <c r="F232" s="372"/>
      <c r="G232" s="542" t="s">
        <v>386</v>
      </c>
      <c r="H232" s="853">
        <f t="shared" ca="1" si="14"/>
        <v>0</v>
      </c>
      <c r="I232" s="661" t="str">
        <f t="shared" ca="1" si="10"/>
        <v/>
      </c>
      <c r="J232" s="661" t="str">
        <f t="shared" ca="1" si="11"/>
        <v/>
      </c>
      <c r="K232" s="661" t="str">
        <f t="shared" ca="1" si="12"/>
        <v/>
      </c>
      <c r="L232" s="661" t="str">
        <f t="shared" ca="1" si="13"/>
        <v/>
      </c>
      <c r="M232" s="260"/>
      <c r="N232" s="273"/>
      <c r="O232" s="274"/>
    </row>
    <row r="233" spans="1:15" ht="13.95" customHeight="1" x14ac:dyDescent="0.25">
      <c r="A233" s="166"/>
      <c r="B233" s="269"/>
      <c r="C233" s="372"/>
      <c r="D233" s="542" t="s">
        <v>387</v>
      </c>
      <c r="E233" s="856">
        <f ca="1">VLOOKUP($D233,Data!$C$2:$H$384,6,FALSE)</f>
        <v>0</v>
      </c>
      <c r="F233" s="372"/>
      <c r="G233" s="542" t="s">
        <v>387</v>
      </c>
      <c r="H233" s="853">
        <f t="shared" ca="1" si="14"/>
        <v>0</v>
      </c>
      <c r="I233" s="661" t="str">
        <f t="shared" ca="1" si="10"/>
        <v/>
      </c>
      <c r="J233" s="661" t="str">
        <f t="shared" ca="1" si="11"/>
        <v/>
      </c>
      <c r="K233" s="661" t="str">
        <f t="shared" ca="1" si="12"/>
        <v/>
      </c>
      <c r="L233" s="661" t="str">
        <f t="shared" ca="1" si="13"/>
        <v/>
      </c>
      <c r="M233" s="260"/>
      <c r="N233" s="273"/>
      <c r="O233" s="274"/>
    </row>
    <row r="234" spans="1:15" ht="13.95" customHeight="1" x14ac:dyDescent="0.25">
      <c r="A234" s="166"/>
      <c r="B234" s="269"/>
      <c r="C234" s="372"/>
      <c r="D234" s="542" t="s">
        <v>388</v>
      </c>
      <c r="E234" s="856">
        <f ca="1">VLOOKUP($D234,Data!$C$2:$H$384,6,FALSE)</f>
        <v>0</v>
      </c>
      <c r="F234" s="372"/>
      <c r="G234" s="542" t="s">
        <v>388</v>
      </c>
      <c r="H234" s="853">
        <f t="shared" ca="1" si="14"/>
        <v>0</v>
      </c>
      <c r="I234" s="661" t="str">
        <f t="shared" ca="1" si="10"/>
        <v/>
      </c>
      <c r="J234" s="661" t="str">
        <f t="shared" ca="1" si="11"/>
        <v/>
      </c>
      <c r="K234" s="661" t="str">
        <f t="shared" ca="1" si="12"/>
        <v/>
      </c>
      <c r="L234" s="661" t="str">
        <f t="shared" ca="1" si="13"/>
        <v/>
      </c>
      <c r="M234" s="260"/>
      <c r="N234" s="273"/>
      <c r="O234" s="274"/>
    </row>
    <row r="235" spans="1:15" ht="13.95" customHeight="1" x14ac:dyDescent="0.25">
      <c r="A235" s="166"/>
      <c r="B235" s="269"/>
      <c r="C235" s="372"/>
      <c r="D235" s="542" t="s">
        <v>336</v>
      </c>
      <c r="E235" s="856">
        <f ca="1">VLOOKUP($D235,Data!$C$2:$H$384,6,FALSE)</f>
        <v>0</v>
      </c>
      <c r="F235" s="372"/>
      <c r="G235" s="542" t="s">
        <v>336</v>
      </c>
      <c r="H235" s="853">
        <f t="shared" ca="1" si="14"/>
        <v>0</v>
      </c>
      <c r="I235" s="661" t="str">
        <f t="shared" ca="1" si="10"/>
        <v/>
      </c>
      <c r="J235" s="661" t="str">
        <f t="shared" ca="1" si="11"/>
        <v/>
      </c>
      <c r="K235" s="661" t="str">
        <f t="shared" ca="1" si="12"/>
        <v/>
      </c>
      <c r="L235" s="661" t="str">
        <f t="shared" ca="1" si="13"/>
        <v/>
      </c>
      <c r="M235" s="260"/>
      <c r="N235" s="273"/>
      <c r="O235" s="274"/>
    </row>
    <row r="236" spans="1:15" ht="13.95" customHeight="1" x14ac:dyDescent="0.25">
      <c r="A236" s="166"/>
      <c r="B236" s="269"/>
      <c r="C236" s="372"/>
      <c r="D236" s="542" t="s">
        <v>337</v>
      </c>
      <c r="E236" s="856">
        <f ca="1">VLOOKUP($D236,Data!$C$2:$H$384,6,FALSE)</f>
        <v>0</v>
      </c>
      <c r="F236" s="372"/>
      <c r="G236" s="542" t="s">
        <v>337</v>
      </c>
      <c r="H236" s="853">
        <f t="shared" ca="1" si="14"/>
        <v>0</v>
      </c>
      <c r="I236" s="661" t="str">
        <f t="shared" ca="1" si="10"/>
        <v/>
      </c>
      <c r="J236" s="661" t="str">
        <f t="shared" ca="1" si="11"/>
        <v/>
      </c>
      <c r="K236" s="661" t="str">
        <f t="shared" ca="1" si="12"/>
        <v/>
      </c>
      <c r="L236" s="661" t="str">
        <f t="shared" ca="1" si="13"/>
        <v/>
      </c>
      <c r="M236" s="260"/>
      <c r="N236" s="273"/>
      <c r="O236" s="274"/>
    </row>
    <row r="237" spans="1:15" ht="13.95" customHeight="1" x14ac:dyDescent="0.25">
      <c r="A237" s="166"/>
      <c r="B237" s="269"/>
      <c r="C237" s="372"/>
      <c r="D237" s="542" t="s">
        <v>338</v>
      </c>
      <c r="E237" s="856">
        <f ca="1">VLOOKUP($D237,Data!$C$2:$H$384,6,FALSE)</f>
        <v>0</v>
      </c>
      <c r="F237" s="372"/>
      <c r="G237" s="542" t="s">
        <v>338</v>
      </c>
      <c r="H237" s="853">
        <f t="shared" ca="1" si="14"/>
        <v>0</v>
      </c>
      <c r="I237" s="661" t="str">
        <f t="shared" ca="1" si="10"/>
        <v/>
      </c>
      <c r="J237" s="661" t="str">
        <f t="shared" ca="1" si="11"/>
        <v/>
      </c>
      <c r="K237" s="661" t="str">
        <f t="shared" ca="1" si="12"/>
        <v/>
      </c>
      <c r="L237" s="661" t="str">
        <f t="shared" ca="1" si="13"/>
        <v/>
      </c>
      <c r="M237" s="260"/>
      <c r="N237" s="273"/>
      <c r="O237" s="274"/>
    </row>
    <row r="238" spans="1:15" ht="13.95" customHeight="1" x14ac:dyDescent="0.25">
      <c r="A238" s="166"/>
      <c r="B238" s="269"/>
      <c r="C238" s="372"/>
      <c r="D238" s="542" t="s">
        <v>339</v>
      </c>
      <c r="E238" s="856">
        <f ca="1">VLOOKUP($D238,Data!$C$2:$H$384,6,FALSE)</f>
        <v>0</v>
      </c>
      <c r="F238" s="372"/>
      <c r="G238" s="542" t="s">
        <v>339</v>
      </c>
      <c r="H238" s="853">
        <f t="shared" ca="1" si="14"/>
        <v>0</v>
      </c>
      <c r="I238" s="661" t="str">
        <f t="shared" ca="1" si="10"/>
        <v/>
      </c>
      <c r="J238" s="661" t="str">
        <f t="shared" ca="1" si="11"/>
        <v/>
      </c>
      <c r="K238" s="661" t="str">
        <f t="shared" ca="1" si="12"/>
        <v/>
      </c>
      <c r="L238" s="661" t="str">
        <f t="shared" ca="1" si="13"/>
        <v/>
      </c>
      <c r="M238" s="260"/>
      <c r="N238" s="273"/>
      <c r="O238" s="274"/>
    </row>
    <row r="239" spans="1:15" ht="13.95" customHeight="1" x14ac:dyDescent="0.25">
      <c r="A239" s="166"/>
      <c r="B239" s="269"/>
      <c r="C239" s="372"/>
      <c r="D239" s="542" t="s">
        <v>340</v>
      </c>
      <c r="E239" s="856">
        <f ca="1">VLOOKUP($D239,Data!$C$2:$H$384,6,FALSE)</f>
        <v>0</v>
      </c>
      <c r="F239" s="372"/>
      <c r="G239" s="542" t="s">
        <v>340</v>
      </c>
      <c r="H239" s="853">
        <f t="shared" ca="1" si="14"/>
        <v>0</v>
      </c>
      <c r="I239" s="661" t="str">
        <f t="shared" ca="1" si="10"/>
        <v/>
      </c>
      <c r="J239" s="661" t="str">
        <f t="shared" ca="1" si="11"/>
        <v/>
      </c>
      <c r="K239" s="661" t="str">
        <f t="shared" ca="1" si="12"/>
        <v/>
      </c>
      <c r="L239" s="661" t="str">
        <f t="shared" ca="1" si="13"/>
        <v/>
      </c>
      <c r="M239" s="260"/>
      <c r="N239" s="273"/>
      <c r="O239" s="274"/>
    </row>
    <row r="240" spans="1:15" ht="13.95" customHeight="1" x14ac:dyDescent="0.25">
      <c r="A240" s="166"/>
      <c r="B240" s="269"/>
      <c r="C240" s="372"/>
      <c r="D240" s="542" t="s">
        <v>341</v>
      </c>
      <c r="E240" s="856">
        <f ca="1">VLOOKUP($D240,Data!$C$2:$H$384,6,FALSE)</f>
        <v>0</v>
      </c>
      <c r="F240" s="372"/>
      <c r="G240" s="542" t="s">
        <v>341</v>
      </c>
      <c r="H240" s="853">
        <f t="shared" ca="1" si="14"/>
        <v>0</v>
      </c>
      <c r="I240" s="661" t="str">
        <f t="shared" ca="1" si="10"/>
        <v/>
      </c>
      <c r="J240" s="661" t="str">
        <f t="shared" ca="1" si="11"/>
        <v/>
      </c>
      <c r="K240" s="661" t="str">
        <f t="shared" ca="1" si="12"/>
        <v/>
      </c>
      <c r="L240" s="661" t="str">
        <f t="shared" ca="1" si="13"/>
        <v/>
      </c>
      <c r="M240" s="260"/>
      <c r="N240" s="273"/>
      <c r="O240" s="274"/>
    </row>
    <row r="241" spans="1:15" ht="13.95" customHeight="1" x14ac:dyDescent="0.25">
      <c r="A241" s="166"/>
      <c r="B241" s="269"/>
      <c r="C241" s="372"/>
      <c r="D241" s="542" t="s">
        <v>342</v>
      </c>
      <c r="E241" s="856">
        <f ca="1">VLOOKUP($D241,Data!$C$2:$H$384,6,FALSE)</f>
        <v>0</v>
      </c>
      <c r="F241" s="372"/>
      <c r="G241" s="542" t="s">
        <v>342</v>
      </c>
      <c r="H241" s="853">
        <f t="shared" ca="1" si="14"/>
        <v>0</v>
      </c>
      <c r="I241" s="661" t="str">
        <f t="shared" ca="1" si="10"/>
        <v/>
      </c>
      <c r="J241" s="661" t="str">
        <f t="shared" ca="1" si="11"/>
        <v/>
      </c>
      <c r="K241" s="661" t="str">
        <f t="shared" ca="1" si="12"/>
        <v/>
      </c>
      <c r="L241" s="661" t="str">
        <f t="shared" ca="1" si="13"/>
        <v/>
      </c>
      <c r="M241" s="260"/>
      <c r="N241" s="273"/>
      <c r="O241" s="274"/>
    </row>
    <row r="242" spans="1:15" ht="13.95" customHeight="1" x14ac:dyDescent="0.25">
      <c r="A242" s="166"/>
      <c r="B242" s="269"/>
      <c r="C242" s="372"/>
      <c r="D242" s="542" t="s">
        <v>343</v>
      </c>
      <c r="E242" s="856">
        <f ca="1">VLOOKUP($D242,Data!$C$2:$H$384,6,FALSE)</f>
        <v>0</v>
      </c>
      <c r="F242" s="372"/>
      <c r="G242" s="542" t="s">
        <v>343</v>
      </c>
      <c r="H242" s="853">
        <f t="shared" ca="1" si="14"/>
        <v>0</v>
      </c>
      <c r="I242" s="661" t="str">
        <f t="shared" ca="1" si="10"/>
        <v/>
      </c>
      <c r="J242" s="661" t="str">
        <f t="shared" ca="1" si="11"/>
        <v/>
      </c>
      <c r="K242" s="661" t="str">
        <f t="shared" ca="1" si="12"/>
        <v/>
      </c>
      <c r="L242" s="661" t="str">
        <f t="shared" ca="1" si="13"/>
        <v/>
      </c>
      <c r="M242" s="260"/>
      <c r="N242" s="273"/>
      <c r="O242" s="274"/>
    </row>
    <row r="243" spans="1:15" ht="13.95" customHeight="1" x14ac:dyDescent="0.25">
      <c r="A243" s="166"/>
      <c r="B243" s="269"/>
      <c r="C243" s="372"/>
      <c r="D243" s="542" t="s">
        <v>344</v>
      </c>
      <c r="E243" s="856">
        <f ca="1">VLOOKUP($D243,Data!$C$2:$H$384,6,FALSE)</f>
        <v>0</v>
      </c>
      <c r="F243" s="372"/>
      <c r="G243" s="542" t="s">
        <v>344</v>
      </c>
      <c r="H243" s="853">
        <f t="shared" ca="1" si="14"/>
        <v>0</v>
      </c>
      <c r="I243" s="661" t="str">
        <f t="shared" ca="1" si="10"/>
        <v/>
      </c>
      <c r="J243" s="661" t="str">
        <f t="shared" ca="1" si="11"/>
        <v/>
      </c>
      <c r="K243" s="661" t="str">
        <f t="shared" ca="1" si="12"/>
        <v/>
      </c>
      <c r="L243" s="661" t="str">
        <f t="shared" ca="1" si="13"/>
        <v/>
      </c>
      <c r="M243" s="260"/>
      <c r="N243" s="273"/>
      <c r="O243" s="274"/>
    </row>
    <row r="244" spans="1:15" ht="13.95" customHeight="1" x14ac:dyDescent="0.25">
      <c r="A244" s="166"/>
      <c r="B244" s="269"/>
      <c r="C244" s="372"/>
      <c r="D244" s="542" t="s">
        <v>345</v>
      </c>
      <c r="E244" s="856">
        <f ca="1">VLOOKUP($D244,Data!$C$2:$H$384,6,FALSE)</f>
        <v>0</v>
      </c>
      <c r="F244" s="372"/>
      <c r="G244" s="542" t="s">
        <v>345</v>
      </c>
      <c r="H244" s="853">
        <f t="shared" ca="1" si="14"/>
        <v>0</v>
      </c>
      <c r="I244" s="661" t="str">
        <f t="shared" ca="1" si="10"/>
        <v/>
      </c>
      <c r="J244" s="661" t="str">
        <f t="shared" ca="1" si="11"/>
        <v/>
      </c>
      <c r="K244" s="661" t="str">
        <f t="shared" ca="1" si="12"/>
        <v/>
      </c>
      <c r="L244" s="661" t="str">
        <f t="shared" ca="1" si="13"/>
        <v/>
      </c>
      <c r="M244" s="260"/>
      <c r="N244" s="273"/>
      <c r="O244" s="274"/>
    </row>
    <row r="245" spans="1:15" ht="13.95" customHeight="1" x14ac:dyDescent="0.25">
      <c r="A245" s="166"/>
      <c r="B245" s="269"/>
      <c r="C245" s="372"/>
      <c r="D245" s="542" t="s">
        <v>346</v>
      </c>
      <c r="E245" s="856">
        <f ca="1">VLOOKUP($D245,Data!$C$2:$H$384,6,FALSE)</f>
        <v>0</v>
      </c>
      <c r="F245" s="372"/>
      <c r="G245" s="542" t="s">
        <v>346</v>
      </c>
      <c r="H245" s="853">
        <f t="shared" ca="1" si="14"/>
        <v>0</v>
      </c>
      <c r="I245" s="661" t="str">
        <f t="shared" ca="1" si="10"/>
        <v/>
      </c>
      <c r="J245" s="661" t="str">
        <f t="shared" ca="1" si="11"/>
        <v/>
      </c>
      <c r="K245" s="661" t="str">
        <f t="shared" ca="1" si="12"/>
        <v/>
      </c>
      <c r="L245" s="661" t="str">
        <f t="shared" ca="1" si="13"/>
        <v/>
      </c>
      <c r="M245" s="260"/>
      <c r="N245" s="273"/>
      <c r="O245" s="274"/>
    </row>
    <row r="246" spans="1:15" ht="13.95" customHeight="1" x14ac:dyDescent="0.25">
      <c r="A246" s="166"/>
      <c r="B246" s="269"/>
      <c r="C246" s="372"/>
      <c r="D246" s="542" t="s">
        <v>347</v>
      </c>
      <c r="E246" s="856">
        <f ca="1">VLOOKUP($D246,Data!$C$2:$H$384,6,FALSE)</f>
        <v>0</v>
      </c>
      <c r="F246" s="372"/>
      <c r="G246" s="542" t="s">
        <v>347</v>
      </c>
      <c r="H246" s="853">
        <f t="shared" ca="1" si="14"/>
        <v>0</v>
      </c>
      <c r="I246" s="661" t="str">
        <f t="shared" ca="1" si="10"/>
        <v/>
      </c>
      <c r="J246" s="661" t="str">
        <f t="shared" ca="1" si="11"/>
        <v/>
      </c>
      <c r="K246" s="661" t="str">
        <f t="shared" ca="1" si="12"/>
        <v/>
      </c>
      <c r="L246" s="661" t="str">
        <f t="shared" ca="1" si="13"/>
        <v/>
      </c>
      <c r="M246" s="260"/>
      <c r="N246" s="273"/>
      <c r="O246" s="274"/>
    </row>
    <row r="247" spans="1:15" ht="13.95" customHeight="1" x14ac:dyDescent="0.25">
      <c r="A247" s="166"/>
      <c r="B247" s="269"/>
      <c r="C247" s="372"/>
      <c r="D247" s="542" t="s">
        <v>348</v>
      </c>
      <c r="E247" s="856">
        <f ca="1">VLOOKUP($D247,Data!$C$2:$H$384,6,FALSE)</f>
        <v>0</v>
      </c>
      <c r="F247" s="372"/>
      <c r="G247" s="542" t="s">
        <v>348</v>
      </c>
      <c r="H247" s="853">
        <f t="shared" ca="1" si="14"/>
        <v>0</v>
      </c>
      <c r="I247" s="661" t="str">
        <f t="shared" ca="1" si="10"/>
        <v/>
      </c>
      <c r="J247" s="661" t="str">
        <f t="shared" ca="1" si="11"/>
        <v/>
      </c>
      <c r="K247" s="661" t="str">
        <f t="shared" ca="1" si="12"/>
        <v/>
      </c>
      <c r="L247" s="661" t="str">
        <f t="shared" ca="1" si="13"/>
        <v/>
      </c>
      <c r="M247" s="260"/>
      <c r="N247" s="273"/>
      <c r="O247" s="274"/>
    </row>
    <row r="248" spans="1:15" ht="13.95" customHeight="1" x14ac:dyDescent="0.25">
      <c r="A248" s="166"/>
      <c r="B248" s="269"/>
      <c r="C248" s="372"/>
      <c r="D248" s="542" t="s">
        <v>349</v>
      </c>
      <c r="E248" s="856">
        <f ca="1">VLOOKUP($D248,Data!$C$2:$H$384,6,FALSE)</f>
        <v>0</v>
      </c>
      <c r="F248" s="372"/>
      <c r="G248" s="542" t="s">
        <v>349</v>
      </c>
      <c r="H248" s="853">
        <f t="shared" ca="1" si="14"/>
        <v>0</v>
      </c>
      <c r="I248" s="661" t="str">
        <f t="shared" ca="1" si="10"/>
        <v/>
      </c>
      <c r="J248" s="661" t="str">
        <f t="shared" ca="1" si="11"/>
        <v/>
      </c>
      <c r="K248" s="661" t="str">
        <f t="shared" ca="1" si="12"/>
        <v/>
      </c>
      <c r="L248" s="661" t="str">
        <f t="shared" ca="1" si="13"/>
        <v/>
      </c>
      <c r="M248" s="260"/>
      <c r="N248" s="273"/>
      <c r="O248" s="274"/>
    </row>
    <row r="249" spans="1:15" ht="13.95" customHeight="1" x14ac:dyDescent="0.25">
      <c r="A249" s="166"/>
      <c r="B249" s="269"/>
      <c r="C249" s="372"/>
      <c r="D249" s="542" t="s">
        <v>350</v>
      </c>
      <c r="E249" s="856">
        <f ca="1">VLOOKUP($D249,Data!$C$2:$H$384,6,FALSE)</f>
        <v>0</v>
      </c>
      <c r="F249" s="372"/>
      <c r="G249" s="542" t="s">
        <v>350</v>
      </c>
      <c r="H249" s="853">
        <f t="shared" ca="1" si="14"/>
        <v>0</v>
      </c>
      <c r="I249" s="661" t="str">
        <f t="shared" ca="1" si="10"/>
        <v/>
      </c>
      <c r="J249" s="661" t="str">
        <f t="shared" ca="1" si="11"/>
        <v/>
      </c>
      <c r="K249" s="661" t="str">
        <f t="shared" ca="1" si="12"/>
        <v/>
      </c>
      <c r="L249" s="661" t="str">
        <f t="shared" ca="1" si="13"/>
        <v/>
      </c>
      <c r="M249" s="260"/>
      <c r="N249" s="273"/>
      <c r="O249" s="274"/>
    </row>
    <row r="250" spans="1:15" ht="13.95" customHeight="1" x14ac:dyDescent="0.25">
      <c r="A250" s="166"/>
      <c r="B250" s="269"/>
      <c r="C250" s="372"/>
      <c r="D250" s="542" t="s">
        <v>351</v>
      </c>
      <c r="E250" s="856">
        <f ca="1">VLOOKUP($D250,Data!$C$2:$H$384,6,FALSE)</f>
        <v>0</v>
      </c>
      <c r="F250" s="372"/>
      <c r="G250" s="542" t="s">
        <v>351</v>
      </c>
      <c r="H250" s="853">
        <f t="shared" ca="1" si="14"/>
        <v>0</v>
      </c>
      <c r="I250" s="661" t="str">
        <f t="shared" ca="1" si="10"/>
        <v/>
      </c>
      <c r="J250" s="661" t="str">
        <f t="shared" ca="1" si="11"/>
        <v/>
      </c>
      <c r="K250" s="661" t="str">
        <f t="shared" ca="1" si="12"/>
        <v/>
      </c>
      <c r="L250" s="661" t="str">
        <f t="shared" ca="1" si="13"/>
        <v/>
      </c>
      <c r="M250" s="260"/>
      <c r="N250" s="273"/>
      <c r="O250" s="274"/>
    </row>
    <row r="251" spans="1:15" ht="13.95" customHeight="1" x14ac:dyDescent="0.25">
      <c r="A251" s="166"/>
      <c r="B251" s="269"/>
      <c r="C251" s="372"/>
      <c r="D251" s="542" t="s">
        <v>352</v>
      </c>
      <c r="E251" s="856">
        <f ca="1">VLOOKUP($D251,Data!$C$2:$H$384,6,FALSE)</f>
        <v>0</v>
      </c>
      <c r="F251" s="372"/>
      <c r="G251" s="542" t="s">
        <v>352</v>
      </c>
      <c r="H251" s="853">
        <f t="shared" ca="1" si="14"/>
        <v>0</v>
      </c>
      <c r="I251" s="661" t="str">
        <f t="shared" ca="1" si="10"/>
        <v/>
      </c>
      <c r="J251" s="661" t="str">
        <f t="shared" ca="1" si="11"/>
        <v/>
      </c>
      <c r="K251" s="661" t="str">
        <f t="shared" ca="1" si="12"/>
        <v/>
      </c>
      <c r="L251" s="661" t="str">
        <f t="shared" ca="1" si="13"/>
        <v/>
      </c>
      <c r="M251" s="260"/>
      <c r="N251" s="273"/>
      <c r="O251" s="274"/>
    </row>
    <row r="252" spans="1:15" ht="13.95" customHeight="1" x14ac:dyDescent="0.25">
      <c r="A252" s="166"/>
      <c r="B252" s="269"/>
      <c r="C252" s="372"/>
      <c r="D252" s="542" t="s">
        <v>353</v>
      </c>
      <c r="E252" s="856">
        <f ca="1">VLOOKUP($D252,Data!$C$2:$H$384,6,FALSE)</f>
        <v>0</v>
      </c>
      <c r="F252" s="372"/>
      <c r="G252" s="542" t="s">
        <v>353</v>
      </c>
      <c r="H252" s="853">
        <f t="shared" ca="1" si="14"/>
        <v>0</v>
      </c>
      <c r="I252" s="661" t="str">
        <f t="shared" ca="1" si="10"/>
        <v/>
      </c>
      <c r="J252" s="661" t="str">
        <f t="shared" ca="1" si="11"/>
        <v/>
      </c>
      <c r="K252" s="661" t="str">
        <f t="shared" ca="1" si="12"/>
        <v/>
      </c>
      <c r="L252" s="661" t="str">
        <f t="shared" ca="1" si="13"/>
        <v/>
      </c>
      <c r="M252" s="260"/>
      <c r="N252" s="273"/>
      <c r="O252" s="274"/>
    </row>
    <row r="253" spans="1:15" ht="13.95" customHeight="1" x14ac:dyDescent="0.25">
      <c r="A253" s="166"/>
      <c r="B253" s="269"/>
      <c r="C253" s="372"/>
      <c r="D253" s="542" t="s">
        <v>355</v>
      </c>
      <c r="E253" s="856">
        <f ca="1">VLOOKUP($D253,Data!$C$2:$H$384,6,FALSE)</f>
        <v>0</v>
      </c>
      <c r="F253" s="372"/>
      <c r="G253" s="542" t="s">
        <v>355</v>
      </c>
      <c r="H253" s="853">
        <f t="shared" ca="1" si="14"/>
        <v>0</v>
      </c>
      <c r="I253" s="661" t="str">
        <f t="shared" ca="1" si="10"/>
        <v/>
      </c>
      <c r="J253" s="661" t="str">
        <f t="shared" ca="1" si="11"/>
        <v/>
      </c>
      <c r="K253" s="661" t="str">
        <f t="shared" ca="1" si="12"/>
        <v/>
      </c>
      <c r="L253" s="661" t="str">
        <f t="shared" ca="1" si="13"/>
        <v/>
      </c>
      <c r="M253" s="260"/>
      <c r="N253" s="273"/>
      <c r="O253" s="274"/>
    </row>
    <row r="254" spans="1:15" ht="13.95" customHeight="1" x14ac:dyDescent="0.25">
      <c r="A254" s="166"/>
      <c r="B254" s="269"/>
      <c r="C254" s="372"/>
      <c r="D254" s="542" t="s">
        <v>356</v>
      </c>
      <c r="E254" s="856">
        <f ca="1">VLOOKUP($D254,Data!$C$2:$H$384,6,FALSE)</f>
        <v>0</v>
      </c>
      <c r="F254" s="372"/>
      <c r="G254" s="542" t="s">
        <v>356</v>
      </c>
      <c r="H254" s="853">
        <f t="shared" ca="1" si="14"/>
        <v>0</v>
      </c>
      <c r="I254" s="661" t="str">
        <f t="shared" ca="1" si="10"/>
        <v/>
      </c>
      <c r="J254" s="661" t="str">
        <f t="shared" ca="1" si="11"/>
        <v/>
      </c>
      <c r="K254" s="661" t="str">
        <f t="shared" ca="1" si="12"/>
        <v/>
      </c>
      <c r="L254" s="661" t="str">
        <f t="shared" ca="1" si="13"/>
        <v/>
      </c>
      <c r="M254" s="260"/>
      <c r="N254" s="273"/>
      <c r="O254" s="274"/>
    </row>
    <row r="255" spans="1:15" ht="13.95" customHeight="1" x14ac:dyDescent="0.25">
      <c r="A255" s="166"/>
      <c r="B255" s="269"/>
      <c r="C255" s="372"/>
      <c r="D255" s="542" t="s">
        <v>357</v>
      </c>
      <c r="E255" s="856">
        <f ca="1">VLOOKUP($D255,Data!$C$2:$H$384,6,FALSE)</f>
        <v>0</v>
      </c>
      <c r="F255" s="372"/>
      <c r="G255" s="542" t="s">
        <v>357</v>
      </c>
      <c r="H255" s="853">
        <f t="shared" ca="1" si="14"/>
        <v>0</v>
      </c>
      <c r="I255" s="661" t="str">
        <f t="shared" ca="1" si="10"/>
        <v/>
      </c>
      <c r="J255" s="661" t="str">
        <f t="shared" ca="1" si="11"/>
        <v/>
      </c>
      <c r="K255" s="661" t="str">
        <f t="shared" ca="1" si="12"/>
        <v/>
      </c>
      <c r="L255" s="661" t="str">
        <f t="shared" ca="1" si="13"/>
        <v/>
      </c>
      <c r="M255" s="260"/>
      <c r="N255" s="273"/>
      <c r="O255" s="274"/>
    </row>
    <row r="256" spans="1:15" ht="13.95" customHeight="1" x14ac:dyDescent="0.25">
      <c r="A256" s="166"/>
      <c r="B256" s="269"/>
      <c r="C256" s="372"/>
      <c r="D256" s="542" t="s">
        <v>358</v>
      </c>
      <c r="E256" s="856">
        <f ca="1">VLOOKUP($D256,Data!$C$2:$H$384,6,FALSE)</f>
        <v>0</v>
      </c>
      <c r="F256" s="372"/>
      <c r="G256" s="542" t="s">
        <v>358</v>
      </c>
      <c r="H256" s="853">
        <f t="shared" ca="1" si="14"/>
        <v>0</v>
      </c>
      <c r="I256" s="661" t="str">
        <f t="shared" ca="1" si="10"/>
        <v/>
      </c>
      <c r="J256" s="661" t="str">
        <f t="shared" ca="1" si="11"/>
        <v/>
      </c>
      <c r="K256" s="661" t="str">
        <f t="shared" ca="1" si="12"/>
        <v/>
      </c>
      <c r="L256" s="661" t="str">
        <f t="shared" ca="1" si="13"/>
        <v/>
      </c>
      <c r="M256" s="260"/>
      <c r="N256" s="273"/>
      <c r="O256" s="274"/>
    </row>
    <row r="257" spans="1:15" ht="13.95" customHeight="1" x14ac:dyDescent="0.25">
      <c r="A257" s="166"/>
      <c r="B257" s="269"/>
      <c r="C257" s="372"/>
      <c r="D257" s="542" t="s">
        <v>359</v>
      </c>
      <c r="E257" s="856">
        <f ca="1">VLOOKUP($D257,Data!$C$2:$H$384,6,FALSE)</f>
        <v>0</v>
      </c>
      <c r="F257" s="372"/>
      <c r="G257" s="542" t="s">
        <v>359</v>
      </c>
      <c r="H257" s="853">
        <f t="shared" ca="1" si="14"/>
        <v>0</v>
      </c>
      <c r="I257" s="661" t="str">
        <f t="shared" ca="1" si="10"/>
        <v/>
      </c>
      <c r="J257" s="661" t="str">
        <f t="shared" ca="1" si="11"/>
        <v/>
      </c>
      <c r="K257" s="661" t="str">
        <f t="shared" ca="1" si="12"/>
        <v/>
      </c>
      <c r="L257" s="661" t="str">
        <f t="shared" ca="1" si="13"/>
        <v/>
      </c>
      <c r="M257" s="260"/>
      <c r="N257" s="273"/>
      <c r="O257" s="274"/>
    </row>
    <row r="258" spans="1:15" ht="13.95" customHeight="1" x14ac:dyDescent="0.25">
      <c r="A258" s="166"/>
      <c r="B258" s="269"/>
      <c r="C258" s="372"/>
      <c r="D258" s="542" t="s">
        <v>360</v>
      </c>
      <c r="E258" s="856">
        <f ca="1">VLOOKUP($D258,Data!$C$2:$H$384,6,FALSE)</f>
        <v>0</v>
      </c>
      <c r="F258" s="372"/>
      <c r="G258" s="542" t="s">
        <v>360</v>
      </c>
      <c r="H258" s="853">
        <f t="shared" ca="1" si="14"/>
        <v>0</v>
      </c>
      <c r="I258" s="661" t="str">
        <f t="shared" ca="1" si="10"/>
        <v/>
      </c>
      <c r="J258" s="661" t="str">
        <f t="shared" ca="1" si="11"/>
        <v/>
      </c>
      <c r="K258" s="661" t="str">
        <f t="shared" ca="1" si="12"/>
        <v/>
      </c>
      <c r="L258" s="661" t="str">
        <f t="shared" ca="1" si="13"/>
        <v/>
      </c>
      <c r="M258" s="260"/>
      <c r="N258" s="273"/>
      <c r="O258" s="274"/>
    </row>
    <row r="259" spans="1:15" ht="13.95" customHeight="1" x14ac:dyDescent="0.25">
      <c r="A259" s="166"/>
      <c r="B259" s="269"/>
      <c r="C259" s="372"/>
      <c r="D259" s="542" t="s">
        <v>240</v>
      </c>
      <c r="E259" s="856">
        <f ca="1">VLOOKUP($D259,Data!$C$2:$H$384,6,FALSE)</f>
        <v>0</v>
      </c>
      <c r="F259" s="372"/>
      <c r="G259" s="542" t="s">
        <v>240</v>
      </c>
      <c r="H259" s="853">
        <f t="shared" ca="1" si="14"/>
        <v>0</v>
      </c>
      <c r="I259" s="661" t="str">
        <f t="shared" ca="1" si="10"/>
        <v/>
      </c>
      <c r="J259" s="661" t="str">
        <f t="shared" ca="1" si="11"/>
        <v/>
      </c>
      <c r="K259" s="661" t="str">
        <f t="shared" ca="1" si="12"/>
        <v/>
      </c>
      <c r="L259" s="661" t="str">
        <f t="shared" ca="1" si="13"/>
        <v/>
      </c>
      <c r="M259" s="260"/>
      <c r="N259" s="273"/>
      <c r="O259" s="274"/>
    </row>
    <row r="260" spans="1:15" ht="13.95" customHeight="1" x14ac:dyDescent="0.25">
      <c r="A260" s="166"/>
      <c r="B260" s="269"/>
      <c r="C260" s="372"/>
      <c r="D260" s="542" t="s">
        <v>241</v>
      </c>
      <c r="E260" s="856">
        <f ca="1">VLOOKUP($D260,Data!$C$2:$H$384,6,FALSE)</f>
        <v>0</v>
      </c>
      <c r="F260" s="372"/>
      <c r="G260" s="542" t="s">
        <v>241</v>
      </c>
      <c r="H260" s="853">
        <f t="shared" ca="1" si="14"/>
        <v>0</v>
      </c>
      <c r="I260" s="661" t="str">
        <f t="shared" ca="1" si="10"/>
        <v/>
      </c>
      <c r="J260" s="661" t="str">
        <f t="shared" ca="1" si="11"/>
        <v/>
      </c>
      <c r="K260" s="661" t="str">
        <f t="shared" ca="1" si="12"/>
        <v/>
      </c>
      <c r="L260" s="661" t="str">
        <f t="shared" ca="1" si="13"/>
        <v/>
      </c>
      <c r="M260" s="260"/>
      <c r="N260" s="273"/>
      <c r="O260" s="274"/>
    </row>
    <row r="261" spans="1:15" ht="13.95" customHeight="1" x14ac:dyDescent="0.25">
      <c r="A261" s="166"/>
      <c r="B261" s="269"/>
      <c r="C261" s="372"/>
      <c r="D261" s="542" t="s">
        <v>242</v>
      </c>
      <c r="E261" s="856">
        <f ca="1">VLOOKUP($D261,Data!$C$2:$H$384,6,FALSE)</f>
        <v>0</v>
      </c>
      <c r="F261" s="372"/>
      <c r="G261" s="542" t="s">
        <v>242</v>
      </c>
      <c r="H261" s="853">
        <f t="shared" ca="1" si="14"/>
        <v>0</v>
      </c>
      <c r="I261" s="661" t="str">
        <f t="shared" ca="1" si="10"/>
        <v/>
      </c>
      <c r="J261" s="661" t="str">
        <f t="shared" ca="1" si="11"/>
        <v/>
      </c>
      <c r="K261" s="661" t="str">
        <f t="shared" ca="1" si="12"/>
        <v/>
      </c>
      <c r="L261" s="661" t="str">
        <f t="shared" ca="1" si="13"/>
        <v/>
      </c>
      <c r="M261" s="260"/>
      <c r="N261" s="273"/>
      <c r="O261" s="274"/>
    </row>
    <row r="262" spans="1:15" ht="13.95" customHeight="1" x14ac:dyDescent="0.25">
      <c r="A262" s="166"/>
      <c r="B262" s="269"/>
      <c r="C262" s="372"/>
      <c r="D262" s="542" t="s">
        <v>243</v>
      </c>
      <c r="E262" s="856">
        <f ca="1">VLOOKUP($D262,Data!$C$2:$H$384,6,FALSE)</f>
        <v>0</v>
      </c>
      <c r="F262" s="372"/>
      <c r="G262" s="542" t="s">
        <v>243</v>
      </c>
      <c r="H262" s="853">
        <f t="shared" ca="1" si="14"/>
        <v>0</v>
      </c>
      <c r="I262" s="661" t="str">
        <f t="shared" ca="1" si="10"/>
        <v/>
      </c>
      <c r="J262" s="661" t="str">
        <f t="shared" ca="1" si="11"/>
        <v/>
      </c>
      <c r="K262" s="661" t="str">
        <f t="shared" ca="1" si="12"/>
        <v/>
      </c>
      <c r="L262" s="661" t="str">
        <f t="shared" ca="1" si="13"/>
        <v/>
      </c>
      <c r="M262" s="260"/>
      <c r="N262" s="273"/>
      <c r="O262" s="274"/>
    </row>
    <row r="263" spans="1:15" ht="13.95" customHeight="1" x14ac:dyDescent="0.25">
      <c r="A263" s="166"/>
      <c r="B263" s="269"/>
      <c r="C263" s="372"/>
      <c r="D263" s="542" t="s">
        <v>244</v>
      </c>
      <c r="E263" s="856">
        <f ca="1">VLOOKUP($D263,Data!$C$2:$H$384,6,FALSE)</f>
        <v>0</v>
      </c>
      <c r="F263" s="372"/>
      <c r="G263" s="542" t="s">
        <v>244</v>
      </c>
      <c r="H263" s="853">
        <f t="shared" ca="1" si="14"/>
        <v>0</v>
      </c>
      <c r="I263" s="661" t="str">
        <f t="shared" ca="1" si="10"/>
        <v/>
      </c>
      <c r="J263" s="661" t="str">
        <f t="shared" ca="1" si="11"/>
        <v/>
      </c>
      <c r="K263" s="661" t="str">
        <f t="shared" ca="1" si="12"/>
        <v/>
      </c>
      <c r="L263" s="661" t="str">
        <f t="shared" ca="1" si="13"/>
        <v/>
      </c>
      <c r="M263" s="260"/>
      <c r="N263" s="273"/>
      <c r="O263" s="274"/>
    </row>
    <row r="264" spans="1:15" ht="13.95" customHeight="1" x14ac:dyDescent="0.25">
      <c r="A264" s="166"/>
      <c r="B264" s="269"/>
      <c r="C264" s="372"/>
      <c r="D264" s="542" t="s">
        <v>245</v>
      </c>
      <c r="E264" s="856">
        <f ca="1">VLOOKUP($D264,Data!$C$2:$H$384,6,FALSE)</f>
        <v>0</v>
      </c>
      <c r="F264" s="372"/>
      <c r="G264" s="542" t="s">
        <v>245</v>
      </c>
      <c r="H264" s="853">
        <f t="shared" ca="1" si="14"/>
        <v>0</v>
      </c>
      <c r="I264" s="661" t="str">
        <f t="shared" ca="1" si="10"/>
        <v/>
      </c>
      <c r="J264" s="661" t="str">
        <f t="shared" ca="1" si="11"/>
        <v/>
      </c>
      <c r="K264" s="661" t="str">
        <f t="shared" ca="1" si="12"/>
        <v/>
      </c>
      <c r="L264" s="661" t="str">
        <f t="shared" ca="1" si="13"/>
        <v/>
      </c>
      <c r="M264" s="260"/>
      <c r="N264" s="273"/>
      <c r="O264" s="274"/>
    </row>
    <row r="265" spans="1:15" ht="13.95" customHeight="1" x14ac:dyDescent="0.25">
      <c r="A265" s="166"/>
      <c r="B265" s="269"/>
      <c r="C265" s="372"/>
      <c r="D265" s="542" t="s">
        <v>246</v>
      </c>
      <c r="E265" s="856">
        <f ca="1">VLOOKUP($D265,Data!$C$2:$H$384,6,FALSE)</f>
        <v>0</v>
      </c>
      <c r="F265" s="372"/>
      <c r="G265" s="542" t="s">
        <v>246</v>
      </c>
      <c r="H265" s="853">
        <f t="shared" ca="1" si="14"/>
        <v>0</v>
      </c>
      <c r="I265" s="661" t="str">
        <f t="shared" ca="1" si="10"/>
        <v/>
      </c>
      <c r="J265" s="661" t="str">
        <f t="shared" ca="1" si="11"/>
        <v/>
      </c>
      <c r="K265" s="661" t="str">
        <f t="shared" ca="1" si="12"/>
        <v/>
      </c>
      <c r="L265" s="661" t="str">
        <f t="shared" ca="1" si="13"/>
        <v/>
      </c>
      <c r="M265" s="260"/>
      <c r="N265" s="273"/>
      <c r="O265" s="274"/>
    </row>
    <row r="266" spans="1:15" ht="13.95" customHeight="1" x14ac:dyDescent="0.25">
      <c r="A266" s="166"/>
      <c r="B266" s="269"/>
      <c r="C266" s="372"/>
      <c r="D266" s="542" t="s">
        <v>247</v>
      </c>
      <c r="E266" s="856">
        <f ca="1">VLOOKUP($D266,Data!$C$2:$H$384,6,FALSE)</f>
        <v>0</v>
      </c>
      <c r="F266" s="372"/>
      <c r="G266" s="542" t="s">
        <v>247</v>
      </c>
      <c r="H266" s="853">
        <f t="shared" ca="1" si="14"/>
        <v>0</v>
      </c>
      <c r="I266" s="661" t="str">
        <f t="shared" ca="1" si="10"/>
        <v/>
      </c>
      <c r="J266" s="661" t="str">
        <f t="shared" ca="1" si="11"/>
        <v/>
      </c>
      <c r="K266" s="661" t="str">
        <f t="shared" ca="1" si="12"/>
        <v/>
      </c>
      <c r="L266" s="661" t="str">
        <f t="shared" ca="1" si="13"/>
        <v/>
      </c>
      <c r="M266" s="260"/>
      <c r="N266" s="273"/>
      <c r="O266" s="274"/>
    </row>
    <row r="267" spans="1:15" ht="13.95" customHeight="1" x14ac:dyDescent="0.25">
      <c r="A267" s="166"/>
      <c r="B267" s="269"/>
      <c r="C267" s="372"/>
      <c r="D267" s="542" t="s">
        <v>248</v>
      </c>
      <c r="E267" s="856">
        <f ca="1">VLOOKUP($D267,Data!$C$2:$H$384,6,FALSE)</f>
        <v>0</v>
      </c>
      <c r="F267" s="372"/>
      <c r="G267" s="542" t="s">
        <v>248</v>
      </c>
      <c r="H267" s="853">
        <f t="shared" ca="1" si="14"/>
        <v>0</v>
      </c>
      <c r="I267" s="661" t="str">
        <f t="shared" ca="1" si="10"/>
        <v/>
      </c>
      <c r="J267" s="661" t="str">
        <f t="shared" ca="1" si="11"/>
        <v/>
      </c>
      <c r="K267" s="661" t="str">
        <f t="shared" ca="1" si="12"/>
        <v/>
      </c>
      <c r="L267" s="661" t="str">
        <f t="shared" ca="1" si="13"/>
        <v/>
      </c>
      <c r="M267" s="260"/>
      <c r="N267" s="273"/>
      <c r="O267" s="274"/>
    </row>
    <row r="268" spans="1:15" ht="13.95" customHeight="1" x14ac:dyDescent="0.25">
      <c r="A268" s="166"/>
      <c r="B268" s="269"/>
      <c r="C268" s="372"/>
      <c r="D268" s="542" t="s">
        <v>249</v>
      </c>
      <c r="E268" s="856">
        <f ca="1">VLOOKUP($D268,Data!$C$2:$H$384,6,FALSE)</f>
        <v>0</v>
      </c>
      <c r="F268" s="372"/>
      <c r="G268" s="542" t="s">
        <v>249</v>
      </c>
      <c r="H268" s="853">
        <f t="shared" ca="1" si="14"/>
        <v>0</v>
      </c>
      <c r="I268" s="661" t="str">
        <f t="shared" ca="1" si="10"/>
        <v/>
      </c>
      <c r="J268" s="661" t="str">
        <f t="shared" ca="1" si="11"/>
        <v/>
      </c>
      <c r="K268" s="661" t="str">
        <f t="shared" ca="1" si="12"/>
        <v/>
      </c>
      <c r="L268" s="661" t="str">
        <f t="shared" ca="1" si="13"/>
        <v/>
      </c>
      <c r="M268" s="260"/>
      <c r="N268" s="273"/>
      <c r="O268" s="274"/>
    </row>
    <row r="269" spans="1:15" ht="13.95" customHeight="1" x14ac:dyDescent="0.25">
      <c r="A269" s="166"/>
      <c r="B269" s="269"/>
      <c r="C269" s="372"/>
      <c r="D269" s="542" t="s">
        <v>250</v>
      </c>
      <c r="E269" s="856">
        <f ca="1">VLOOKUP($D269,Data!$C$2:$H$384,6,FALSE)</f>
        <v>0</v>
      </c>
      <c r="F269" s="372"/>
      <c r="G269" s="542" t="s">
        <v>250</v>
      </c>
      <c r="H269" s="853">
        <f t="shared" ca="1" si="14"/>
        <v>0</v>
      </c>
      <c r="I269" s="661" t="str">
        <f t="shared" ca="1" si="10"/>
        <v/>
      </c>
      <c r="J269" s="661" t="str">
        <f t="shared" ca="1" si="11"/>
        <v/>
      </c>
      <c r="K269" s="661" t="str">
        <f t="shared" ca="1" si="12"/>
        <v/>
      </c>
      <c r="L269" s="661" t="str">
        <f t="shared" ca="1" si="13"/>
        <v/>
      </c>
      <c r="M269" s="260"/>
      <c r="N269" s="273"/>
      <c r="O269" s="274"/>
    </row>
    <row r="270" spans="1:15" ht="13.95" customHeight="1" x14ac:dyDescent="0.25">
      <c r="A270" s="166"/>
      <c r="B270" s="269"/>
      <c r="C270" s="372"/>
      <c r="D270" s="542" t="s">
        <v>251</v>
      </c>
      <c r="E270" s="856">
        <f ca="1">VLOOKUP($D270,Data!$C$2:$H$384,6,FALSE)</f>
        <v>0</v>
      </c>
      <c r="F270" s="372"/>
      <c r="G270" s="542" t="s">
        <v>251</v>
      </c>
      <c r="H270" s="853">
        <f t="shared" ca="1" si="14"/>
        <v>0</v>
      </c>
      <c r="I270" s="661" t="str">
        <f t="shared" ca="1" si="10"/>
        <v/>
      </c>
      <c r="J270" s="661" t="str">
        <f t="shared" ca="1" si="11"/>
        <v/>
      </c>
      <c r="K270" s="661" t="str">
        <f t="shared" ca="1" si="12"/>
        <v/>
      </c>
      <c r="L270" s="661" t="str">
        <f t="shared" ca="1" si="13"/>
        <v/>
      </c>
      <c r="M270" s="260"/>
      <c r="N270" s="273"/>
      <c r="O270" s="274"/>
    </row>
    <row r="271" spans="1:15" ht="13.95" customHeight="1" x14ac:dyDescent="0.25">
      <c r="A271" s="166"/>
      <c r="B271" s="269"/>
      <c r="C271" s="372"/>
      <c r="D271" s="542" t="s">
        <v>252</v>
      </c>
      <c r="E271" s="856">
        <f ca="1">VLOOKUP($D271,Data!$C$2:$H$384,6,FALSE)</f>
        <v>0</v>
      </c>
      <c r="F271" s="372"/>
      <c r="G271" s="542" t="s">
        <v>252</v>
      </c>
      <c r="H271" s="853">
        <f t="shared" ca="1" si="14"/>
        <v>0</v>
      </c>
      <c r="I271" s="661" t="str">
        <f t="shared" ref="I271:I334" ca="1" si="15">IF(VLOOKUP(RIGHT($G271,LEN($G271)-FIND("-",$G271)), INDIRECT("'"&amp;LEFT($G271,FIND("-",$G271)-1)&amp;"'!"&amp;"$D:$K"), 5,FALSE) = 0, "",
VLOOKUP(RIGHT($G271,LEN($G271)-FIND("-",$G271)), INDIRECT("'"&amp;LEFT($G271,FIND("-",$G271)-1)&amp;"'!"&amp;"$D:$K"), 5,FALSE) )</f>
        <v/>
      </c>
      <c r="J271" s="661" t="str">
        <f t="shared" ref="J271:J334" ca="1" si="16">IF(VLOOKUP(RIGHT($G271,LEN($G271)-FIND("-",$G271)), INDIRECT("'"&amp;LEFT($G271,FIND("-",$G271)-1)&amp;"'!"&amp;"$D:$K"), 6,FALSE) = 0, "",
VLOOKUP(RIGHT($G271,LEN($G271)-FIND("-",$G271)), INDIRECT("'"&amp;LEFT($G271,FIND("-",$G271)-1)&amp;"'!"&amp;"$D:$K"), 6,FALSE) )</f>
        <v/>
      </c>
      <c r="K271" s="661" t="str">
        <f t="shared" ref="K271:K334" ca="1" si="17">IF(VLOOKUP(RIGHT($G271,LEN($G271)-FIND("-",$G271)), INDIRECT("'"&amp;LEFT($G271,FIND("-",$G271)-1)&amp;"'!"&amp;"$D:$K"), 7,FALSE) = 0, "",
VLOOKUP(RIGHT($G271,LEN($G271)-FIND("-",$G271)), INDIRECT("'"&amp;LEFT($G271,FIND("-",$G271)-1)&amp;"'!"&amp;"$D:$K"), 7,FALSE) )</f>
        <v/>
      </c>
      <c r="L271" s="661" t="str">
        <f t="shared" ref="L271:L334" ca="1" si="18">IF(VLOOKUP(RIGHT($G271,LEN($G271)-FIND("-",$G271)), INDIRECT("'"&amp;LEFT($G271,FIND("-",$G271)-1)&amp;"'!"&amp;"$D:$K"), 8,FALSE) = 0, "",
VLOOKUP(RIGHT($G271,LEN($G271)-FIND("-",$G271)), INDIRECT("'"&amp;LEFT($G271,FIND("-",$G271)-1)&amp;"'!"&amp;"$D:$K"), 8,FALSE) )</f>
        <v/>
      </c>
      <c r="M271" s="260"/>
      <c r="N271" s="273"/>
      <c r="O271" s="274"/>
    </row>
    <row r="272" spans="1:15" ht="13.95" customHeight="1" x14ac:dyDescent="0.25">
      <c r="A272" s="166"/>
      <c r="B272" s="269"/>
      <c r="C272" s="372"/>
      <c r="D272" s="542" t="s">
        <v>253</v>
      </c>
      <c r="E272" s="856">
        <f ca="1">VLOOKUP($D272,Data!$C$2:$H$384,6,FALSE)</f>
        <v>0</v>
      </c>
      <c r="F272" s="372"/>
      <c r="G272" s="542" t="s">
        <v>253</v>
      </c>
      <c r="H272" s="853">
        <f t="shared" ref="H272:H335" ca="1" si="19">INT(LEFT(
VLOOKUP(RIGHT($G272,LEN($G272)-FIND("-",$G272)), INDIRECT("'"&amp;LEFT($G272,FIND("-",$G272)-1)&amp;"'!"&amp;"$D:$K"), 4,FALSE), 1)
)</f>
        <v>0</v>
      </c>
      <c r="I272" s="661" t="str">
        <f t="shared" ca="1" si="15"/>
        <v/>
      </c>
      <c r="J272" s="661" t="str">
        <f t="shared" ca="1" si="16"/>
        <v/>
      </c>
      <c r="K272" s="661" t="str">
        <f t="shared" ca="1" si="17"/>
        <v/>
      </c>
      <c r="L272" s="661" t="str">
        <f t="shared" ca="1" si="18"/>
        <v/>
      </c>
      <c r="M272" s="260"/>
      <c r="N272" s="273"/>
      <c r="O272" s="274"/>
    </row>
    <row r="273" spans="1:15" ht="13.95" customHeight="1" x14ac:dyDescent="0.25">
      <c r="A273" s="166"/>
      <c r="B273" s="269"/>
      <c r="C273" s="372"/>
      <c r="D273" s="542" t="s">
        <v>254</v>
      </c>
      <c r="E273" s="856">
        <f ca="1">VLOOKUP($D273,Data!$C$2:$H$384,6,FALSE)</f>
        <v>0</v>
      </c>
      <c r="F273" s="372"/>
      <c r="G273" s="542" t="s">
        <v>254</v>
      </c>
      <c r="H273" s="853">
        <f t="shared" ca="1" si="19"/>
        <v>0</v>
      </c>
      <c r="I273" s="661" t="str">
        <f t="shared" ca="1" si="15"/>
        <v/>
      </c>
      <c r="J273" s="661" t="str">
        <f t="shared" ca="1" si="16"/>
        <v/>
      </c>
      <c r="K273" s="661" t="str">
        <f t="shared" ca="1" si="17"/>
        <v/>
      </c>
      <c r="L273" s="661" t="str">
        <f t="shared" ca="1" si="18"/>
        <v/>
      </c>
      <c r="M273" s="260"/>
      <c r="N273" s="273"/>
      <c r="O273" s="274"/>
    </row>
    <row r="274" spans="1:15" ht="13.95" customHeight="1" x14ac:dyDescent="0.25">
      <c r="A274" s="166"/>
      <c r="B274" s="269"/>
      <c r="C274" s="372"/>
      <c r="D274" s="542" t="s">
        <v>255</v>
      </c>
      <c r="E274" s="856">
        <f ca="1">VLOOKUP($D274,Data!$C$2:$H$384,6,FALSE)</f>
        <v>0</v>
      </c>
      <c r="F274" s="372"/>
      <c r="G274" s="542" t="s">
        <v>255</v>
      </c>
      <c r="H274" s="853">
        <f t="shared" ca="1" si="19"/>
        <v>0</v>
      </c>
      <c r="I274" s="661" t="str">
        <f t="shared" ca="1" si="15"/>
        <v/>
      </c>
      <c r="J274" s="661" t="str">
        <f t="shared" ca="1" si="16"/>
        <v/>
      </c>
      <c r="K274" s="661" t="str">
        <f t="shared" ca="1" si="17"/>
        <v/>
      </c>
      <c r="L274" s="661" t="str">
        <f t="shared" ca="1" si="18"/>
        <v/>
      </c>
      <c r="M274" s="260"/>
      <c r="N274" s="273"/>
      <c r="O274" s="274"/>
    </row>
    <row r="275" spans="1:15" ht="13.95" customHeight="1" x14ac:dyDescent="0.25">
      <c r="A275" s="166"/>
      <c r="B275" s="269"/>
      <c r="C275" s="372"/>
      <c r="D275" s="542" t="s">
        <v>256</v>
      </c>
      <c r="E275" s="856">
        <f ca="1">VLOOKUP($D275,Data!$C$2:$H$384,6,FALSE)</f>
        <v>0</v>
      </c>
      <c r="F275" s="372"/>
      <c r="G275" s="542" t="s">
        <v>256</v>
      </c>
      <c r="H275" s="853">
        <f t="shared" ca="1" si="19"/>
        <v>0</v>
      </c>
      <c r="I275" s="661" t="str">
        <f t="shared" ca="1" si="15"/>
        <v/>
      </c>
      <c r="J275" s="661" t="str">
        <f t="shared" ca="1" si="16"/>
        <v/>
      </c>
      <c r="K275" s="661" t="str">
        <f t="shared" ca="1" si="17"/>
        <v/>
      </c>
      <c r="L275" s="661" t="str">
        <f t="shared" ca="1" si="18"/>
        <v/>
      </c>
      <c r="M275" s="260"/>
      <c r="N275" s="273"/>
      <c r="O275" s="274"/>
    </row>
    <row r="276" spans="1:15" ht="13.95" customHeight="1" x14ac:dyDescent="0.25">
      <c r="A276" s="166"/>
      <c r="B276" s="269"/>
      <c r="C276" s="372"/>
      <c r="D276" s="542" t="s">
        <v>257</v>
      </c>
      <c r="E276" s="856">
        <f ca="1">VLOOKUP($D276,Data!$C$2:$H$384,6,FALSE)</f>
        <v>0</v>
      </c>
      <c r="F276" s="372"/>
      <c r="G276" s="542" t="s">
        <v>257</v>
      </c>
      <c r="H276" s="853">
        <f t="shared" ca="1" si="19"/>
        <v>0</v>
      </c>
      <c r="I276" s="661" t="str">
        <f t="shared" ca="1" si="15"/>
        <v/>
      </c>
      <c r="J276" s="661" t="str">
        <f t="shared" ca="1" si="16"/>
        <v/>
      </c>
      <c r="K276" s="661" t="str">
        <f t="shared" ca="1" si="17"/>
        <v/>
      </c>
      <c r="L276" s="661" t="str">
        <f t="shared" ca="1" si="18"/>
        <v/>
      </c>
      <c r="M276" s="260"/>
      <c r="N276" s="273"/>
      <c r="O276" s="274"/>
    </row>
    <row r="277" spans="1:15" ht="13.95" customHeight="1" x14ac:dyDescent="0.25">
      <c r="A277" s="166"/>
      <c r="B277" s="269"/>
      <c r="C277" s="372"/>
      <c r="D277" s="542" t="s">
        <v>258</v>
      </c>
      <c r="E277" s="856">
        <f ca="1">VLOOKUP($D277,Data!$C$2:$H$384,6,FALSE)</f>
        <v>0</v>
      </c>
      <c r="F277" s="372"/>
      <c r="G277" s="542" t="s">
        <v>258</v>
      </c>
      <c r="H277" s="853">
        <f t="shared" ca="1" si="19"/>
        <v>0</v>
      </c>
      <c r="I277" s="661" t="str">
        <f t="shared" ca="1" si="15"/>
        <v/>
      </c>
      <c r="J277" s="661" t="str">
        <f t="shared" ca="1" si="16"/>
        <v/>
      </c>
      <c r="K277" s="661" t="str">
        <f t="shared" ca="1" si="17"/>
        <v/>
      </c>
      <c r="L277" s="661" t="str">
        <f t="shared" ca="1" si="18"/>
        <v/>
      </c>
      <c r="M277" s="260"/>
      <c r="N277" s="273"/>
      <c r="O277" s="274"/>
    </row>
    <row r="278" spans="1:15" ht="13.95" customHeight="1" x14ac:dyDescent="0.25">
      <c r="A278" s="166"/>
      <c r="B278" s="269"/>
      <c r="C278" s="372"/>
      <c r="D278" s="542" t="s">
        <v>259</v>
      </c>
      <c r="E278" s="856">
        <f ca="1">VLOOKUP($D278,Data!$C$2:$H$384,6,FALSE)</f>
        <v>0</v>
      </c>
      <c r="F278" s="372"/>
      <c r="G278" s="542" t="s">
        <v>259</v>
      </c>
      <c r="H278" s="853">
        <f t="shared" ca="1" si="19"/>
        <v>0</v>
      </c>
      <c r="I278" s="661" t="str">
        <f t="shared" ca="1" si="15"/>
        <v/>
      </c>
      <c r="J278" s="661" t="str">
        <f t="shared" ca="1" si="16"/>
        <v/>
      </c>
      <c r="K278" s="661" t="str">
        <f t="shared" ca="1" si="17"/>
        <v/>
      </c>
      <c r="L278" s="661" t="str">
        <f t="shared" ca="1" si="18"/>
        <v/>
      </c>
      <c r="M278" s="260"/>
      <c r="N278" s="273"/>
      <c r="O278" s="274"/>
    </row>
    <row r="279" spans="1:15" ht="13.95" customHeight="1" x14ac:dyDescent="0.25">
      <c r="A279" s="166"/>
      <c r="B279" s="269"/>
      <c r="C279" s="372"/>
      <c r="D279" s="542" t="s">
        <v>260</v>
      </c>
      <c r="E279" s="856">
        <f ca="1">VLOOKUP($D279,Data!$C$2:$H$384,6,FALSE)</f>
        <v>0</v>
      </c>
      <c r="F279" s="372"/>
      <c r="G279" s="542" t="s">
        <v>260</v>
      </c>
      <c r="H279" s="853">
        <f t="shared" ca="1" si="19"/>
        <v>0</v>
      </c>
      <c r="I279" s="661" t="str">
        <f t="shared" ca="1" si="15"/>
        <v/>
      </c>
      <c r="J279" s="661" t="str">
        <f t="shared" ca="1" si="16"/>
        <v/>
      </c>
      <c r="K279" s="661" t="str">
        <f t="shared" ca="1" si="17"/>
        <v/>
      </c>
      <c r="L279" s="661" t="str">
        <f t="shared" ca="1" si="18"/>
        <v/>
      </c>
      <c r="M279" s="260"/>
      <c r="N279" s="273"/>
      <c r="O279" s="274"/>
    </row>
    <row r="280" spans="1:15" ht="13.95" customHeight="1" x14ac:dyDescent="0.25">
      <c r="A280" s="166"/>
      <c r="B280" s="269"/>
      <c r="C280" s="372"/>
      <c r="D280" s="542" t="s">
        <v>261</v>
      </c>
      <c r="E280" s="856">
        <f ca="1">VLOOKUP($D280,Data!$C$2:$H$384,6,FALSE)</f>
        <v>0</v>
      </c>
      <c r="F280" s="372"/>
      <c r="G280" s="542" t="s">
        <v>261</v>
      </c>
      <c r="H280" s="853">
        <f t="shared" ca="1" si="19"/>
        <v>0</v>
      </c>
      <c r="I280" s="661" t="str">
        <f t="shared" ca="1" si="15"/>
        <v/>
      </c>
      <c r="J280" s="661" t="str">
        <f t="shared" ca="1" si="16"/>
        <v/>
      </c>
      <c r="K280" s="661" t="str">
        <f t="shared" ca="1" si="17"/>
        <v/>
      </c>
      <c r="L280" s="661" t="str">
        <f t="shared" ca="1" si="18"/>
        <v/>
      </c>
      <c r="M280" s="260"/>
      <c r="N280" s="273"/>
      <c r="O280" s="274"/>
    </row>
    <row r="281" spans="1:15" ht="13.95" customHeight="1" x14ac:dyDescent="0.25">
      <c r="A281" s="166"/>
      <c r="B281" s="269"/>
      <c r="C281" s="372"/>
      <c r="D281" s="542" t="s">
        <v>262</v>
      </c>
      <c r="E281" s="856">
        <f ca="1">VLOOKUP($D281,Data!$C$2:$H$384,6,FALSE)</f>
        <v>0</v>
      </c>
      <c r="F281" s="372"/>
      <c r="G281" s="542" t="s">
        <v>262</v>
      </c>
      <c r="H281" s="853">
        <f t="shared" ca="1" si="19"/>
        <v>0</v>
      </c>
      <c r="I281" s="661" t="str">
        <f t="shared" ca="1" si="15"/>
        <v/>
      </c>
      <c r="J281" s="661" t="str">
        <f t="shared" ca="1" si="16"/>
        <v/>
      </c>
      <c r="K281" s="661" t="str">
        <f t="shared" ca="1" si="17"/>
        <v/>
      </c>
      <c r="L281" s="661" t="str">
        <f t="shared" ca="1" si="18"/>
        <v/>
      </c>
      <c r="M281" s="260"/>
      <c r="N281" s="273"/>
      <c r="O281" s="274"/>
    </row>
    <row r="282" spans="1:15" ht="13.95" customHeight="1" x14ac:dyDescent="0.25">
      <c r="A282" s="166"/>
      <c r="B282" s="269"/>
      <c r="C282" s="372"/>
      <c r="D282" s="542" t="s">
        <v>263</v>
      </c>
      <c r="E282" s="856">
        <f ca="1">VLOOKUP($D282,Data!$C$2:$H$384,6,FALSE)</f>
        <v>0</v>
      </c>
      <c r="F282" s="372"/>
      <c r="G282" s="542" t="s">
        <v>263</v>
      </c>
      <c r="H282" s="853">
        <f t="shared" ca="1" si="19"/>
        <v>0</v>
      </c>
      <c r="I282" s="661" t="str">
        <f t="shared" ca="1" si="15"/>
        <v/>
      </c>
      <c r="J282" s="661" t="str">
        <f t="shared" ca="1" si="16"/>
        <v/>
      </c>
      <c r="K282" s="661" t="str">
        <f t="shared" ca="1" si="17"/>
        <v/>
      </c>
      <c r="L282" s="661" t="str">
        <f t="shared" ca="1" si="18"/>
        <v/>
      </c>
      <c r="M282" s="260"/>
      <c r="N282" s="273"/>
      <c r="O282" s="274"/>
    </row>
    <row r="283" spans="1:15" ht="13.95" customHeight="1" x14ac:dyDescent="0.25">
      <c r="A283" s="166"/>
      <c r="B283" s="269"/>
      <c r="C283" s="372"/>
      <c r="D283" s="542" t="s">
        <v>265</v>
      </c>
      <c r="E283" s="856">
        <f ca="1">VLOOKUP($D283,Data!$C$2:$H$384,6,FALSE)</f>
        <v>0</v>
      </c>
      <c r="F283" s="372"/>
      <c r="G283" s="542" t="s">
        <v>265</v>
      </c>
      <c r="H283" s="853">
        <f t="shared" ca="1" si="19"/>
        <v>0</v>
      </c>
      <c r="I283" s="661" t="str">
        <f t="shared" ca="1" si="15"/>
        <v/>
      </c>
      <c r="J283" s="661" t="str">
        <f t="shared" ca="1" si="16"/>
        <v/>
      </c>
      <c r="K283" s="661" t="str">
        <f t="shared" ca="1" si="17"/>
        <v/>
      </c>
      <c r="L283" s="661" t="str">
        <f t="shared" ca="1" si="18"/>
        <v/>
      </c>
      <c r="M283" s="260"/>
      <c r="N283" s="273"/>
      <c r="O283" s="274"/>
    </row>
    <row r="284" spans="1:15" ht="13.95" customHeight="1" x14ac:dyDescent="0.25">
      <c r="A284" s="166"/>
      <c r="B284" s="269"/>
      <c r="C284" s="372"/>
      <c r="D284" s="542" t="s">
        <v>974</v>
      </c>
      <c r="E284" s="856">
        <f ca="1">VLOOKUP($D284,Data!$C$2:$H$384,6,FALSE)</f>
        <v>0</v>
      </c>
      <c r="F284" s="372"/>
      <c r="G284" s="542" t="s">
        <v>974</v>
      </c>
      <c r="H284" s="853">
        <f t="shared" ca="1" si="19"/>
        <v>0</v>
      </c>
      <c r="I284" s="661" t="str">
        <f t="shared" ca="1" si="15"/>
        <v/>
      </c>
      <c r="J284" s="661" t="str">
        <f t="shared" ca="1" si="16"/>
        <v/>
      </c>
      <c r="K284" s="661" t="str">
        <f t="shared" ca="1" si="17"/>
        <v/>
      </c>
      <c r="L284" s="661" t="str">
        <f t="shared" ca="1" si="18"/>
        <v/>
      </c>
      <c r="M284" s="260"/>
      <c r="N284" s="273"/>
      <c r="O284" s="274"/>
    </row>
    <row r="285" spans="1:15" ht="13.95" customHeight="1" x14ac:dyDescent="0.25">
      <c r="A285" s="166"/>
      <c r="B285" s="269"/>
      <c r="C285" s="372"/>
      <c r="D285" s="542" t="s">
        <v>2617</v>
      </c>
      <c r="E285" s="856">
        <f ca="1">VLOOKUP($D285,Data!$C$2:$H$384,6,FALSE)</f>
        <v>0</v>
      </c>
      <c r="F285" s="372"/>
      <c r="G285" s="542" t="s">
        <v>2617</v>
      </c>
      <c r="H285" s="853">
        <f t="shared" ca="1" si="19"/>
        <v>0</v>
      </c>
      <c r="I285" s="661" t="str">
        <f t="shared" ca="1" si="15"/>
        <v/>
      </c>
      <c r="J285" s="661" t="str">
        <f t="shared" ca="1" si="16"/>
        <v/>
      </c>
      <c r="K285" s="661" t="str">
        <f t="shared" ca="1" si="17"/>
        <v/>
      </c>
      <c r="L285" s="661" t="str">
        <f t="shared" ca="1" si="18"/>
        <v/>
      </c>
      <c r="M285" s="260"/>
      <c r="N285" s="273"/>
      <c r="O285" s="274"/>
    </row>
    <row r="286" spans="1:15" ht="13.95" customHeight="1" x14ac:dyDescent="0.25">
      <c r="A286" s="166"/>
      <c r="B286" s="269"/>
      <c r="C286" s="372"/>
      <c r="D286" s="542" t="s">
        <v>267</v>
      </c>
      <c r="E286" s="856">
        <f ca="1">VLOOKUP($D286,Data!$C$2:$H$384,6,FALSE)</f>
        <v>0</v>
      </c>
      <c r="F286" s="372"/>
      <c r="G286" s="542" t="s">
        <v>267</v>
      </c>
      <c r="H286" s="853">
        <f t="shared" ca="1" si="19"/>
        <v>0</v>
      </c>
      <c r="I286" s="661" t="str">
        <f t="shared" ca="1" si="15"/>
        <v/>
      </c>
      <c r="J286" s="661" t="str">
        <f t="shared" ca="1" si="16"/>
        <v/>
      </c>
      <c r="K286" s="661" t="str">
        <f t="shared" ca="1" si="17"/>
        <v/>
      </c>
      <c r="L286" s="661" t="str">
        <f t="shared" ca="1" si="18"/>
        <v/>
      </c>
      <c r="M286" s="260"/>
      <c r="N286" s="273"/>
      <c r="O286" s="274"/>
    </row>
    <row r="287" spans="1:15" ht="13.95" customHeight="1" x14ac:dyDescent="0.25">
      <c r="A287" s="166"/>
      <c r="B287" s="269"/>
      <c r="C287" s="372"/>
      <c r="D287" s="542" t="s">
        <v>268</v>
      </c>
      <c r="E287" s="856">
        <f ca="1">VLOOKUP($D287,Data!$C$2:$H$384,6,FALSE)</f>
        <v>0</v>
      </c>
      <c r="F287" s="372"/>
      <c r="G287" s="542" t="s">
        <v>268</v>
      </c>
      <c r="H287" s="853">
        <f t="shared" ca="1" si="19"/>
        <v>0</v>
      </c>
      <c r="I287" s="661" t="str">
        <f t="shared" ca="1" si="15"/>
        <v/>
      </c>
      <c r="J287" s="661" t="str">
        <f t="shared" ca="1" si="16"/>
        <v/>
      </c>
      <c r="K287" s="661" t="str">
        <f t="shared" ca="1" si="17"/>
        <v/>
      </c>
      <c r="L287" s="661" t="str">
        <f t="shared" ca="1" si="18"/>
        <v/>
      </c>
      <c r="M287" s="260"/>
      <c r="N287" s="273"/>
      <c r="O287" s="274"/>
    </row>
    <row r="288" spans="1:15" ht="13.95" customHeight="1" x14ac:dyDescent="0.25">
      <c r="A288" s="166"/>
      <c r="B288" s="269"/>
      <c r="C288" s="372"/>
      <c r="D288" s="542" t="s">
        <v>269</v>
      </c>
      <c r="E288" s="856">
        <f ca="1">VLOOKUP($D288,Data!$C$2:$H$384,6,FALSE)</f>
        <v>0</v>
      </c>
      <c r="F288" s="372"/>
      <c r="G288" s="542" t="s">
        <v>269</v>
      </c>
      <c r="H288" s="853">
        <f t="shared" ca="1" si="19"/>
        <v>0</v>
      </c>
      <c r="I288" s="661" t="str">
        <f t="shared" ca="1" si="15"/>
        <v/>
      </c>
      <c r="J288" s="661" t="str">
        <f t="shared" ca="1" si="16"/>
        <v/>
      </c>
      <c r="K288" s="661" t="str">
        <f t="shared" ca="1" si="17"/>
        <v/>
      </c>
      <c r="L288" s="661" t="str">
        <f t="shared" ca="1" si="18"/>
        <v/>
      </c>
      <c r="M288" s="260"/>
      <c r="N288" s="273"/>
      <c r="O288" s="274"/>
    </row>
    <row r="289" spans="1:15" ht="13.95" customHeight="1" x14ac:dyDescent="0.25">
      <c r="A289" s="166"/>
      <c r="B289" s="269"/>
      <c r="C289" s="372"/>
      <c r="D289" s="542" t="s">
        <v>270</v>
      </c>
      <c r="E289" s="856">
        <f ca="1">VLOOKUP($D289,Data!$C$2:$H$384,6,FALSE)</f>
        <v>0</v>
      </c>
      <c r="F289" s="372"/>
      <c r="G289" s="542" t="s">
        <v>270</v>
      </c>
      <c r="H289" s="853">
        <f t="shared" ca="1" si="19"/>
        <v>0</v>
      </c>
      <c r="I289" s="661" t="str">
        <f t="shared" ca="1" si="15"/>
        <v/>
      </c>
      <c r="J289" s="661" t="str">
        <f t="shared" ca="1" si="16"/>
        <v/>
      </c>
      <c r="K289" s="661" t="str">
        <f t="shared" ca="1" si="17"/>
        <v/>
      </c>
      <c r="L289" s="661" t="str">
        <f t="shared" ca="1" si="18"/>
        <v/>
      </c>
      <c r="M289" s="260"/>
      <c r="N289" s="273"/>
      <c r="O289" s="274"/>
    </row>
    <row r="290" spans="1:15" ht="13.95" customHeight="1" x14ac:dyDescent="0.25">
      <c r="A290" s="166"/>
      <c r="B290" s="269"/>
      <c r="C290" s="372"/>
      <c r="D290" s="542" t="s">
        <v>271</v>
      </c>
      <c r="E290" s="856">
        <f ca="1">VLOOKUP($D290,Data!$C$2:$H$384,6,FALSE)</f>
        <v>0</v>
      </c>
      <c r="F290" s="372"/>
      <c r="G290" s="542" t="s">
        <v>271</v>
      </c>
      <c r="H290" s="853">
        <f t="shared" ca="1" si="19"/>
        <v>0</v>
      </c>
      <c r="I290" s="661" t="str">
        <f t="shared" ca="1" si="15"/>
        <v/>
      </c>
      <c r="J290" s="661" t="str">
        <f t="shared" ca="1" si="16"/>
        <v/>
      </c>
      <c r="K290" s="661" t="str">
        <f t="shared" ca="1" si="17"/>
        <v/>
      </c>
      <c r="L290" s="661" t="str">
        <f t="shared" ca="1" si="18"/>
        <v/>
      </c>
      <c r="M290" s="260"/>
      <c r="N290" s="273"/>
      <c r="O290" s="274"/>
    </row>
    <row r="291" spans="1:15" ht="13.95" customHeight="1" x14ac:dyDescent="0.25">
      <c r="A291" s="166"/>
      <c r="B291" s="269"/>
      <c r="C291" s="372"/>
      <c r="D291" s="542" t="s">
        <v>272</v>
      </c>
      <c r="E291" s="856">
        <f ca="1">VLOOKUP($D291,Data!$C$2:$H$384,6,FALSE)</f>
        <v>0</v>
      </c>
      <c r="F291" s="372"/>
      <c r="G291" s="542" t="s">
        <v>272</v>
      </c>
      <c r="H291" s="853">
        <f t="shared" ca="1" si="19"/>
        <v>0</v>
      </c>
      <c r="I291" s="661" t="str">
        <f t="shared" ca="1" si="15"/>
        <v/>
      </c>
      <c r="J291" s="661" t="str">
        <f t="shared" ca="1" si="16"/>
        <v/>
      </c>
      <c r="K291" s="661" t="str">
        <f t="shared" ca="1" si="17"/>
        <v/>
      </c>
      <c r="L291" s="661" t="str">
        <f t="shared" ca="1" si="18"/>
        <v/>
      </c>
      <c r="M291" s="260"/>
      <c r="N291" s="273"/>
      <c r="O291" s="274"/>
    </row>
    <row r="292" spans="1:15" ht="13.95" customHeight="1" x14ac:dyDescent="0.25">
      <c r="A292" s="166"/>
      <c r="B292" s="269"/>
      <c r="C292" s="372"/>
      <c r="D292" s="542" t="s">
        <v>273</v>
      </c>
      <c r="E292" s="856">
        <f ca="1">VLOOKUP($D292,Data!$C$2:$H$384,6,FALSE)</f>
        <v>0</v>
      </c>
      <c r="F292" s="372"/>
      <c r="G292" s="542" t="s">
        <v>273</v>
      </c>
      <c r="H292" s="853">
        <f t="shared" ca="1" si="19"/>
        <v>0</v>
      </c>
      <c r="I292" s="661" t="str">
        <f t="shared" ca="1" si="15"/>
        <v/>
      </c>
      <c r="J292" s="661" t="str">
        <f t="shared" ca="1" si="16"/>
        <v/>
      </c>
      <c r="K292" s="661" t="str">
        <f t="shared" ca="1" si="17"/>
        <v/>
      </c>
      <c r="L292" s="661" t="str">
        <f t="shared" ca="1" si="18"/>
        <v/>
      </c>
      <c r="M292" s="260"/>
      <c r="N292" s="273"/>
      <c r="O292" s="274"/>
    </row>
    <row r="293" spans="1:15" ht="13.95" customHeight="1" x14ac:dyDescent="0.25">
      <c r="A293" s="166"/>
      <c r="B293" s="269"/>
      <c r="C293" s="372"/>
      <c r="D293" s="542" t="s">
        <v>975</v>
      </c>
      <c r="E293" s="856">
        <f ca="1">VLOOKUP($D293,Data!$C$2:$H$384,6,FALSE)</f>
        <v>0</v>
      </c>
      <c r="F293" s="372"/>
      <c r="G293" s="542" t="s">
        <v>975</v>
      </c>
      <c r="H293" s="853">
        <f t="shared" ca="1" si="19"/>
        <v>0</v>
      </c>
      <c r="I293" s="661" t="str">
        <f t="shared" ca="1" si="15"/>
        <v/>
      </c>
      <c r="J293" s="661" t="str">
        <f t="shared" ca="1" si="16"/>
        <v/>
      </c>
      <c r="K293" s="661" t="str">
        <f t="shared" ca="1" si="17"/>
        <v/>
      </c>
      <c r="L293" s="661" t="str">
        <f t="shared" ca="1" si="18"/>
        <v/>
      </c>
      <c r="M293" s="260"/>
      <c r="N293" s="273"/>
      <c r="O293" s="274"/>
    </row>
    <row r="294" spans="1:15" ht="13.95" customHeight="1" x14ac:dyDescent="0.25">
      <c r="A294" s="166"/>
      <c r="B294" s="269"/>
      <c r="C294" s="372"/>
      <c r="D294" s="542" t="s">
        <v>976</v>
      </c>
      <c r="E294" s="856">
        <f ca="1">VLOOKUP($D294,Data!$C$2:$H$384,6,FALSE)</f>
        <v>0</v>
      </c>
      <c r="F294" s="372"/>
      <c r="G294" s="542" t="s">
        <v>976</v>
      </c>
      <c r="H294" s="853">
        <f t="shared" ca="1" si="19"/>
        <v>0</v>
      </c>
      <c r="I294" s="661" t="str">
        <f t="shared" ca="1" si="15"/>
        <v/>
      </c>
      <c r="J294" s="661" t="str">
        <f t="shared" ca="1" si="16"/>
        <v/>
      </c>
      <c r="K294" s="661" t="str">
        <f t="shared" ca="1" si="17"/>
        <v/>
      </c>
      <c r="L294" s="661" t="str">
        <f t="shared" ca="1" si="18"/>
        <v/>
      </c>
      <c r="M294" s="260"/>
      <c r="N294" s="273"/>
      <c r="O294" s="274"/>
    </row>
    <row r="295" spans="1:15" ht="13.95" customHeight="1" x14ac:dyDescent="0.25">
      <c r="A295" s="166"/>
      <c r="B295" s="269"/>
      <c r="C295" s="372"/>
      <c r="D295" s="542" t="s">
        <v>977</v>
      </c>
      <c r="E295" s="856">
        <f ca="1">VLOOKUP($D295,Data!$C$2:$H$384,6,FALSE)</f>
        <v>0</v>
      </c>
      <c r="F295" s="372"/>
      <c r="G295" s="542" t="s">
        <v>977</v>
      </c>
      <c r="H295" s="853">
        <f t="shared" ca="1" si="19"/>
        <v>0</v>
      </c>
      <c r="I295" s="661" t="str">
        <f t="shared" ca="1" si="15"/>
        <v/>
      </c>
      <c r="J295" s="661" t="str">
        <f t="shared" ca="1" si="16"/>
        <v/>
      </c>
      <c r="K295" s="661" t="str">
        <f t="shared" ca="1" si="17"/>
        <v/>
      </c>
      <c r="L295" s="661" t="str">
        <f t="shared" ca="1" si="18"/>
        <v/>
      </c>
      <c r="M295" s="260"/>
      <c r="N295" s="273"/>
      <c r="O295" s="274"/>
    </row>
    <row r="296" spans="1:15" ht="13.95" customHeight="1" x14ac:dyDescent="0.25">
      <c r="A296" s="166"/>
      <c r="B296" s="269"/>
      <c r="C296" s="372"/>
      <c r="D296" s="542" t="s">
        <v>978</v>
      </c>
      <c r="E296" s="856">
        <f ca="1">VLOOKUP($D296,Data!$C$2:$H$384,6,FALSE)</f>
        <v>0</v>
      </c>
      <c r="F296" s="372"/>
      <c r="G296" s="542" t="s">
        <v>978</v>
      </c>
      <c r="H296" s="853">
        <f t="shared" ca="1" si="19"/>
        <v>0</v>
      </c>
      <c r="I296" s="661" t="str">
        <f t="shared" ca="1" si="15"/>
        <v/>
      </c>
      <c r="J296" s="661" t="str">
        <f t="shared" ca="1" si="16"/>
        <v/>
      </c>
      <c r="K296" s="661" t="str">
        <f t="shared" ca="1" si="17"/>
        <v/>
      </c>
      <c r="L296" s="661" t="str">
        <f t="shared" ca="1" si="18"/>
        <v/>
      </c>
      <c r="M296" s="260"/>
      <c r="N296" s="273"/>
      <c r="O296" s="274"/>
    </row>
    <row r="297" spans="1:15" ht="13.95" customHeight="1" x14ac:dyDescent="0.25">
      <c r="A297" s="166"/>
      <c r="B297" s="269"/>
      <c r="C297" s="372"/>
      <c r="D297" s="542" t="s">
        <v>979</v>
      </c>
      <c r="E297" s="856">
        <f ca="1">VLOOKUP($D297,Data!$C$2:$H$384,6,FALSE)</f>
        <v>0</v>
      </c>
      <c r="F297" s="372"/>
      <c r="G297" s="542" t="s">
        <v>979</v>
      </c>
      <c r="H297" s="853">
        <f t="shared" ca="1" si="19"/>
        <v>0</v>
      </c>
      <c r="I297" s="661" t="str">
        <f t="shared" ca="1" si="15"/>
        <v/>
      </c>
      <c r="J297" s="661" t="str">
        <f t="shared" ca="1" si="16"/>
        <v/>
      </c>
      <c r="K297" s="661" t="str">
        <f t="shared" ca="1" si="17"/>
        <v/>
      </c>
      <c r="L297" s="661" t="str">
        <f t="shared" ca="1" si="18"/>
        <v/>
      </c>
      <c r="M297" s="260"/>
      <c r="N297" s="273"/>
      <c r="O297" s="274"/>
    </row>
    <row r="298" spans="1:15" ht="13.95" customHeight="1" x14ac:dyDescent="0.25">
      <c r="A298" s="166"/>
      <c r="B298" s="269"/>
      <c r="C298" s="372"/>
      <c r="D298" s="542" t="s">
        <v>980</v>
      </c>
      <c r="E298" s="856">
        <f ca="1">VLOOKUP($D298,Data!$C$2:$H$384,6,FALSE)</f>
        <v>0</v>
      </c>
      <c r="F298" s="372"/>
      <c r="G298" s="542" t="s">
        <v>980</v>
      </c>
      <c r="H298" s="853">
        <f t="shared" ca="1" si="19"/>
        <v>0</v>
      </c>
      <c r="I298" s="661" t="str">
        <f t="shared" ca="1" si="15"/>
        <v/>
      </c>
      <c r="J298" s="661" t="str">
        <f t="shared" ca="1" si="16"/>
        <v/>
      </c>
      <c r="K298" s="661" t="str">
        <f t="shared" ca="1" si="17"/>
        <v/>
      </c>
      <c r="L298" s="661" t="str">
        <f t="shared" ca="1" si="18"/>
        <v/>
      </c>
      <c r="M298" s="260"/>
      <c r="N298" s="273"/>
      <c r="O298" s="274"/>
    </row>
    <row r="299" spans="1:15" ht="13.95" customHeight="1" x14ac:dyDescent="0.25">
      <c r="A299" s="166"/>
      <c r="B299" s="269"/>
      <c r="C299" s="372"/>
      <c r="D299" s="542" t="s">
        <v>981</v>
      </c>
      <c r="E299" s="856">
        <f ca="1">VLOOKUP($D299,Data!$C$2:$H$384,6,FALSE)</f>
        <v>0</v>
      </c>
      <c r="F299" s="372"/>
      <c r="G299" s="542" t="s">
        <v>981</v>
      </c>
      <c r="H299" s="853">
        <f t="shared" ca="1" si="19"/>
        <v>0</v>
      </c>
      <c r="I299" s="661" t="str">
        <f t="shared" ca="1" si="15"/>
        <v/>
      </c>
      <c r="J299" s="661" t="str">
        <f t="shared" ca="1" si="16"/>
        <v/>
      </c>
      <c r="K299" s="661" t="str">
        <f t="shared" ca="1" si="17"/>
        <v/>
      </c>
      <c r="L299" s="661" t="str">
        <f t="shared" ca="1" si="18"/>
        <v/>
      </c>
      <c r="M299" s="260"/>
      <c r="N299" s="273"/>
      <c r="O299" s="274"/>
    </row>
    <row r="300" spans="1:15" ht="13.95" customHeight="1" x14ac:dyDescent="0.25">
      <c r="A300" s="166"/>
      <c r="B300" s="269"/>
      <c r="C300" s="372"/>
      <c r="D300" s="542" t="s">
        <v>982</v>
      </c>
      <c r="E300" s="856">
        <f ca="1">VLOOKUP($D300,Data!$C$2:$H$384,6,FALSE)</f>
        <v>0</v>
      </c>
      <c r="F300" s="372"/>
      <c r="G300" s="542" t="s">
        <v>982</v>
      </c>
      <c r="H300" s="853">
        <f t="shared" ca="1" si="19"/>
        <v>0</v>
      </c>
      <c r="I300" s="661" t="str">
        <f t="shared" ca="1" si="15"/>
        <v/>
      </c>
      <c r="J300" s="661" t="str">
        <f t="shared" ca="1" si="16"/>
        <v/>
      </c>
      <c r="K300" s="661" t="str">
        <f t="shared" ca="1" si="17"/>
        <v/>
      </c>
      <c r="L300" s="661" t="str">
        <f t="shared" ca="1" si="18"/>
        <v/>
      </c>
      <c r="M300" s="260"/>
      <c r="N300" s="273"/>
      <c r="O300" s="274"/>
    </row>
    <row r="301" spans="1:15" ht="13.95" customHeight="1" x14ac:dyDescent="0.25">
      <c r="A301" s="166"/>
      <c r="B301" s="269"/>
      <c r="C301" s="372"/>
      <c r="D301" s="542" t="s">
        <v>983</v>
      </c>
      <c r="E301" s="856">
        <f ca="1">VLOOKUP($D301,Data!$C$2:$H$384,6,FALSE)</f>
        <v>0</v>
      </c>
      <c r="F301" s="372"/>
      <c r="G301" s="542" t="s">
        <v>983</v>
      </c>
      <c r="H301" s="853">
        <f t="shared" ca="1" si="19"/>
        <v>0</v>
      </c>
      <c r="I301" s="661" t="str">
        <f t="shared" ca="1" si="15"/>
        <v/>
      </c>
      <c r="J301" s="661" t="str">
        <f t="shared" ca="1" si="16"/>
        <v/>
      </c>
      <c r="K301" s="661" t="str">
        <f t="shared" ca="1" si="17"/>
        <v/>
      </c>
      <c r="L301" s="661" t="str">
        <f t="shared" ca="1" si="18"/>
        <v/>
      </c>
      <c r="M301" s="260"/>
      <c r="N301" s="273"/>
      <c r="O301" s="274"/>
    </row>
    <row r="302" spans="1:15" ht="13.95" customHeight="1" x14ac:dyDescent="0.25">
      <c r="A302" s="166"/>
      <c r="B302" s="269"/>
      <c r="C302" s="372"/>
      <c r="D302" s="542" t="s">
        <v>985</v>
      </c>
      <c r="E302" s="856">
        <f ca="1">VLOOKUP($D302,Data!$C$2:$H$384,6,FALSE)</f>
        <v>0</v>
      </c>
      <c r="F302" s="372"/>
      <c r="G302" s="542" t="s">
        <v>985</v>
      </c>
      <c r="H302" s="853">
        <f t="shared" ca="1" si="19"/>
        <v>0</v>
      </c>
      <c r="I302" s="661" t="str">
        <f t="shared" ca="1" si="15"/>
        <v/>
      </c>
      <c r="J302" s="661" t="str">
        <f t="shared" ca="1" si="16"/>
        <v/>
      </c>
      <c r="K302" s="661" t="str">
        <f t="shared" ca="1" si="17"/>
        <v/>
      </c>
      <c r="L302" s="661" t="str">
        <f t="shared" ca="1" si="18"/>
        <v/>
      </c>
      <c r="M302" s="260"/>
      <c r="N302" s="273"/>
      <c r="O302" s="274"/>
    </row>
    <row r="303" spans="1:15" ht="13.95" customHeight="1" x14ac:dyDescent="0.25">
      <c r="A303" s="166"/>
      <c r="B303" s="269"/>
      <c r="C303" s="372"/>
      <c r="D303" s="542" t="s">
        <v>986</v>
      </c>
      <c r="E303" s="856">
        <f ca="1">VLOOKUP($D303,Data!$C$2:$H$384,6,FALSE)</f>
        <v>0</v>
      </c>
      <c r="F303" s="372"/>
      <c r="G303" s="542" t="s">
        <v>986</v>
      </c>
      <c r="H303" s="853">
        <f t="shared" ca="1" si="19"/>
        <v>0</v>
      </c>
      <c r="I303" s="661" t="str">
        <f t="shared" ca="1" si="15"/>
        <v/>
      </c>
      <c r="J303" s="661" t="str">
        <f t="shared" ca="1" si="16"/>
        <v/>
      </c>
      <c r="K303" s="661" t="str">
        <f t="shared" ca="1" si="17"/>
        <v/>
      </c>
      <c r="L303" s="661" t="str">
        <f t="shared" ca="1" si="18"/>
        <v/>
      </c>
      <c r="M303" s="260"/>
      <c r="N303" s="273"/>
      <c r="O303" s="274"/>
    </row>
    <row r="304" spans="1:15" ht="13.95" customHeight="1" x14ac:dyDescent="0.25">
      <c r="A304" s="166"/>
      <c r="B304" s="269"/>
      <c r="C304" s="372"/>
      <c r="D304" s="542" t="s">
        <v>987</v>
      </c>
      <c r="E304" s="856">
        <f ca="1">VLOOKUP($D304,Data!$C$2:$H$384,6,FALSE)</f>
        <v>0</v>
      </c>
      <c r="F304" s="372"/>
      <c r="G304" s="542" t="s">
        <v>987</v>
      </c>
      <c r="H304" s="853">
        <f t="shared" ca="1" si="19"/>
        <v>0</v>
      </c>
      <c r="I304" s="661" t="str">
        <f t="shared" ca="1" si="15"/>
        <v/>
      </c>
      <c r="J304" s="661" t="str">
        <f t="shared" ca="1" si="16"/>
        <v/>
      </c>
      <c r="K304" s="661" t="str">
        <f t="shared" ca="1" si="17"/>
        <v/>
      </c>
      <c r="L304" s="661" t="str">
        <f t="shared" ca="1" si="18"/>
        <v/>
      </c>
      <c r="M304" s="260"/>
      <c r="N304" s="273"/>
      <c r="O304" s="274"/>
    </row>
    <row r="305" spans="1:15" ht="13.95" customHeight="1" x14ac:dyDescent="0.25">
      <c r="A305" s="166"/>
      <c r="B305" s="269"/>
      <c r="C305" s="372"/>
      <c r="D305" s="542" t="s">
        <v>988</v>
      </c>
      <c r="E305" s="856">
        <f ca="1">VLOOKUP($D305,Data!$C$2:$H$384,6,FALSE)</f>
        <v>0</v>
      </c>
      <c r="F305" s="372"/>
      <c r="G305" s="542" t="s">
        <v>988</v>
      </c>
      <c r="H305" s="853">
        <f t="shared" ca="1" si="19"/>
        <v>0</v>
      </c>
      <c r="I305" s="661" t="str">
        <f t="shared" ca="1" si="15"/>
        <v/>
      </c>
      <c r="J305" s="661" t="str">
        <f t="shared" ca="1" si="16"/>
        <v/>
      </c>
      <c r="K305" s="661" t="str">
        <f t="shared" ca="1" si="17"/>
        <v/>
      </c>
      <c r="L305" s="661" t="str">
        <f t="shared" ca="1" si="18"/>
        <v/>
      </c>
      <c r="M305" s="260"/>
      <c r="N305" s="273"/>
      <c r="O305" s="274"/>
    </row>
    <row r="306" spans="1:15" ht="13.95" customHeight="1" x14ac:dyDescent="0.25">
      <c r="A306" s="166"/>
      <c r="B306" s="269"/>
      <c r="C306" s="372"/>
      <c r="D306" s="542" t="s">
        <v>989</v>
      </c>
      <c r="E306" s="856">
        <f ca="1">VLOOKUP($D306,Data!$C$2:$H$384,6,FALSE)</f>
        <v>0</v>
      </c>
      <c r="F306" s="372"/>
      <c r="G306" s="542" t="s">
        <v>989</v>
      </c>
      <c r="H306" s="853">
        <f t="shared" ca="1" si="19"/>
        <v>0</v>
      </c>
      <c r="I306" s="661" t="str">
        <f t="shared" ca="1" si="15"/>
        <v/>
      </c>
      <c r="J306" s="661" t="str">
        <f t="shared" ca="1" si="16"/>
        <v/>
      </c>
      <c r="K306" s="661" t="str">
        <f t="shared" ca="1" si="17"/>
        <v/>
      </c>
      <c r="L306" s="661" t="str">
        <f t="shared" ca="1" si="18"/>
        <v/>
      </c>
      <c r="M306" s="260"/>
      <c r="N306" s="273"/>
      <c r="O306" s="274"/>
    </row>
    <row r="307" spans="1:15" ht="13.95" customHeight="1" x14ac:dyDescent="0.25">
      <c r="A307" s="166"/>
      <c r="B307" s="269"/>
      <c r="C307" s="372"/>
      <c r="D307" s="542" t="s">
        <v>990</v>
      </c>
      <c r="E307" s="856">
        <f ca="1">VLOOKUP($D307,Data!$C$2:$H$384,6,FALSE)</f>
        <v>0</v>
      </c>
      <c r="F307" s="372"/>
      <c r="G307" s="542" t="s">
        <v>990</v>
      </c>
      <c r="H307" s="853">
        <f t="shared" ca="1" si="19"/>
        <v>0</v>
      </c>
      <c r="I307" s="661" t="str">
        <f t="shared" ca="1" si="15"/>
        <v/>
      </c>
      <c r="J307" s="661" t="str">
        <f t="shared" ca="1" si="16"/>
        <v/>
      </c>
      <c r="K307" s="661" t="str">
        <f t="shared" ca="1" si="17"/>
        <v/>
      </c>
      <c r="L307" s="661" t="str">
        <f t="shared" ca="1" si="18"/>
        <v/>
      </c>
      <c r="M307" s="260"/>
      <c r="N307" s="273"/>
      <c r="O307" s="274"/>
    </row>
    <row r="308" spans="1:15" ht="13.95" customHeight="1" x14ac:dyDescent="0.25">
      <c r="A308" s="166"/>
      <c r="B308" s="269"/>
      <c r="C308" s="372"/>
      <c r="D308" s="542" t="s">
        <v>41</v>
      </c>
      <c r="E308" s="856">
        <f ca="1">VLOOKUP($D308,Data!$C$2:$H$384,6,FALSE)</f>
        <v>0</v>
      </c>
      <c r="F308" s="372"/>
      <c r="G308" s="542" t="s">
        <v>41</v>
      </c>
      <c r="H308" s="853">
        <f t="shared" ca="1" si="19"/>
        <v>0</v>
      </c>
      <c r="I308" s="661" t="str">
        <f t="shared" ca="1" si="15"/>
        <v/>
      </c>
      <c r="J308" s="661" t="str">
        <f t="shared" ca="1" si="16"/>
        <v/>
      </c>
      <c r="K308" s="661" t="str">
        <f t="shared" ca="1" si="17"/>
        <v/>
      </c>
      <c r="L308" s="661" t="str">
        <f t="shared" ca="1" si="18"/>
        <v/>
      </c>
      <c r="M308" s="260"/>
      <c r="N308" s="273"/>
      <c r="O308" s="274"/>
    </row>
    <row r="309" spans="1:15" ht="13.95" customHeight="1" x14ac:dyDescent="0.25">
      <c r="A309" s="166"/>
      <c r="B309" s="269"/>
      <c r="C309" s="372"/>
      <c r="D309" s="542" t="s">
        <v>42</v>
      </c>
      <c r="E309" s="856">
        <f ca="1">VLOOKUP($D309,Data!$C$2:$H$384,6,FALSE)</f>
        <v>0</v>
      </c>
      <c r="F309" s="372"/>
      <c r="G309" s="542" t="s">
        <v>42</v>
      </c>
      <c r="H309" s="853">
        <f t="shared" ca="1" si="19"/>
        <v>0</v>
      </c>
      <c r="I309" s="661" t="str">
        <f t="shared" ca="1" si="15"/>
        <v/>
      </c>
      <c r="J309" s="661" t="str">
        <f t="shared" ca="1" si="16"/>
        <v/>
      </c>
      <c r="K309" s="661" t="str">
        <f t="shared" ca="1" si="17"/>
        <v/>
      </c>
      <c r="L309" s="661" t="str">
        <f t="shared" ca="1" si="18"/>
        <v/>
      </c>
      <c r="M309" s="260"/>
      <c r="N309" s="273"/>
      <c r="O309" s="274"/>
    </row>
    <row r="310" spans="1:15" ht="13.95" customHeight="1" x14ac:dyDescent="0.25">
      <c r="A310" s="166"/>
      <c r="B310" s="269"/>
      <c r="C310" s="372"/>
      <c r="D310" s="542" t="s">
        <v>43</v>
      </c>
      <c r="E310" s="856">
        <f ca="1">VLOOKUP($D310,Data!$C$2:$H$384,6,FALSE)</f>
        <v>0</v>
      </c>
      <c r="F310" s="372"/>
      <c r="G310" s="542" t="s">
        <v>43</v>
      </c>
      <c r="H310" s="853">
        <f t="shared" ca="1" si="19"/>
        <v>0</v>
      </c>
      <c r="I310" s="661" t="str">
        <f t="shared" ca="1" si="15"/>
        <v/>
      </c>
      <c r="J310" s="661" t="str">
        <f t="shared" ca="1" si="16"/>
        <v/>
      </c>
      <c r="K310" s="661" t="str">
        <f t="shared" ca="1" si="17"/>
        <v/>
      </c>
      <c r="L310" s="661" t="str">
        <f t="shared" ca="1" si="18"/>
        <v/>
      </c>
      <c r="M310" s="260"/>
      <c r="N310" s="273"/>
      <c r="O310" s="274"/>
    </row>
    <row r="311" spans="1:15" ht="13.95" customHeight="1" x14ac:dyDescent="0.25">
      <c r="A311" s="166"/>
      <c r="B311" s="269"/>
      <c r="C311" s="372"/>
      <c r="D311" s="542" t="s">
        <v>45</v>
      </c>
      <c r="E311" s="856">
        <f ca="1">VLOOKUP($D311,Data!$C$2:$H$384,6,FALSE)</f>
        <v>0</v>
      </c>
      <c r="F311" s="372"/>
      <c r="G311" s="542" t="s">
        <v>45</v>
      </c>
      <c r="H311" s="853">
        <f t="shared" ca="1" si="19"/>
        <v>0</v>
      </c>
      <c r="I311" s="661" t="str">
        <f t="shared" ca="1" si="15"/>
        <v/>
      </c>
      <c r="J311" s="661" t="str">
        <f t="shared" ca="1" si="16"/>
        <v/>
      </c>
      <c r="K311" s="661" t="str">
        <f t="shared" ca="1" si="17"/>
        <v/>
      </c>
      <c r="L311" s="661" t="str">
        <f t="shared" ca="1" si="18"/>
        <v/>
      </c>
      <c r="M311" s="260"/>
      <c r="N311" s="273"/>
      <c r="O311" s="274"/>
    </row>
    <row r="312" spans="1:15" ht="13.95" customHeight="1" x14ac:dyDescent="0.25">
      <c r="A312" s="166"/>
      <c r="B312" s="269"/>
      <c r="C312" s="372"/>
      <c r="D312" s="542" t="s">
        <v>47</v>
      </c>
      <c r="E312" s="856">
        <f ca="1">VLOOKUP($D312,Data!$C$2:$H$384,6,FALSE)</f>
        <v>0</v>
      </c>
      <c r="F312" s="372"/>
      <c r="G312" s="542" t="s">
        <v>47</v>
      </c>
      <c r="H312" s="853">
        <f t="shared" ca="1" si="19"/>
        <v>0</v>
      </c>
      <c r="I312" s="661" t="str">
        <f t="shared" ca="1" si="15"/>
        <v/>
      </c>
      <c r="J312" s="661" t="str">
        <f t="shared" ca="1" si="16"/>
        <v/>
      </c>
      <c r="K312" s="661" t="str">
        <f t="shared" ca="1" si="17"/>
        <v/>
      </c>
      <c r="L312" s="661" t="str">
        <f t="shared" ca="1" si="18"/>
        <v/>
      </c>
      <c r="M312" s="260"/>
      <c r="N312" s="273"/>
      <c r="O312" s="274"/>
    </row>
    <row r="313" spans="1:15" ht="13.95" customHeight="1" x14ac:dyDescent="0.25">
      <c r="A313" s="166"/>
      <c r="B313" s="269"/>
      <c r="C313" s="372"/>
      <c r="D313" s="542" t="s">
        <v>49</v>
      </c>
      <c r="E313" s="856">
        <f ca="1">VLOOKUP($D313,Data!$C$2:$H$384,6,FALSE)</f>
        <v>0</v>
      </c>
      <c r="F313" s="372"/>
      <c r="G313" s="542" t="s">
        <v>49</v>
      </c>
      <c r="H313" s="853">
        <f t="shared" ca="1" si="19"/>
        <v>0</v>
      </c>
      <c r="I313" s="661" t="str">
        <f t="shared" ca="1" si="15"/>
        <v/>
      </c>
      <c r="J313" s="661" t="str">
        <f t="shared" ca="1" si="16"/>
        <v/>
      </c>
      <c r="K313" s="661" t="str">
        <f t="shared" ca="1" si="17"/>
        <v/>
      </c>
      <c r="L313" s="661" t="str">
        <f t="shared" ca="1" si="18"/>
        <v/>
      </c>
      <c r="M313" s="260"/>
      <c r="N313" s="273"/>
      <c r="O313" s="274"/>
    </row>
    <row r="314" spans="1:15" ht="13.95" customHeight="1" x14ac:dyDescent="0.25">
      <c r="A314" s="166"/>
      <c r="B314" s="269"/>
      <c r="C314" s="372"/>
      <c r="D314" s="542" t="s">
        <v>51</v>
      </c>
      <c r="E314" s="856">
        <f ca="1">VLOOKUP($D314,Data!$C$2:$H$384,6,FALSE)</f>
        <v>0</v>
      </c>
      <c r="F314" s="372"/>
      <c r="G314" s="542" t="s">
        <v>51</v>
      </c>
      <c r="H314" s="853">
        <f t="shared" ca="1" si="19"/>
        <v>0</v>
      </c>
      <c r="I314" s="661" t="str">
        <f t="shared" ca="1" si="15"/>
        <v/>
      </c>
      <c r="J314" s="661" t="str">
        <f t="shared" ca="1" si="16"/>
        <v/>
      </c>
      <c r="K314" s="661" t="str">
        <f t="shared" ca="1" si="17"/>
        <v/>
      </c>
      <c r="L314" s="661" t="str">
        <f t="shared" ca="1" si="18"/>
        <v/>
      </c>
      <c r="M314" s="260"/>
      <c r="N314" s="273"/>
      <c r="O314" s="274"/>
    </row>
    <row r="315" spans="1:15" ht="13.95" customHeight="1" x14ac:dyDescent="0.25">
      <c r="A315" s="166"/>
      <c r="B315" s="269"/>
      <c r="C315" s="372"/>
      <c r="D315" s="542" t="s">
        <v>53</v>
      </c>
      <c r="E315" s="856">
        <f ca="1">VLOOKUP($D315,Data!$C$2:$H$384,6,FALSE)</f>
        <v>0</v>
      </c>
      <c r="F315" s="372"/>
      <c r="G315" s="542" t="s">
        <v>53</v>
      </c>
      <c r="H315" s="853">
        <f t="shared" ca="1" si="19"/>
        <v>0</v>
      </c>
      <c r="I315" s="661" t="str">
        <f t="shared" ca="1" si="15"/>
        <v/>
      </c>
      <c r="J315" s="661" t="str">
        <f t="shared" ca="1" si="16"/>
        <v/>
      </c>
      <c r="K315" s="661" t="str">
        <f t="shared" ca="1" si="17"/>
        <v/>
      </c>
      <c r="L315" s="661" t="str">
        <f t="shared" ca="1" si="18"/>
        <v/>
      </c>
      <c r="M315" s="260"/>
      <c r="N315" s="273"/>
      <c r="O315" s="274"/>
    </row>
    <row r="316" spans="1:15" ht="13.95" customHeight="1" x14ac:dyDescent="0.25">
      <c r="A316" s="166"/>
      <c r="B316" s="269"/>
      <c r="C316" s="372"/>
      <c r="D316" s="542" t="s">
        <v>58</v>
      </c>
      <c r="E316" s="856">
        <f ca="1">VLOOKUP($D316,Data!$C$2:$H$384,6,FALSE)</f>
        <v>0</v>
      </c>
      <c r="F316" s="372"/>
      <c r="G316" s="542" t="s">
        <v>58</v>
      </c>
      <c r="H316" s="853">
        <f t="shared" ca="1" si="19"/>
        <v>0</v>
      </c>
      <c r="I316" s="661" t="str">
        <f t="shared" ca="1" si="15"/>
        <v/>
      </c>
      <c r="J316" s="661" t="str">
        <f t="shared" ca="1" si="16"/>
        <v/>
      </c>
      <c r="K316" s="661" t="str">
        <f t="shared" ca="1" si="17"/>
        <v/>
      </c>
      <c r="L316" s="661" t="str">
        <f t="shared" ca="1" si="18"/>
        <v/>
      </c>
      <c r="M316" s="260"/>
      <c r="N316" s="273"/>
      <c r="O316" s="274"/>
    </row>
    <row r="317" spans="1:15" ht="13.95" customHeight="1" x14ac:dyDescent="0.25">
      <c r="A317" s="166"/>
      <c r="B317" s="269"/>
      <c r="C317" s="372"/>
      <c r="D317" s="542" t="s">
        <v>60</v>
      </c>
      <c r="E317" s="856">
        <f ca="1">VLOOKUP($D317,Data!$C$2:$H$384,6,FALSE)</f>
        <v>0</v>
      </c>
      <c r="F317" s="372"/>
      <c r="G317" s="542" t="s">
        <v>60</v>
      </c>
      <c r="H317" s="853">
        <f t="shared" ca="1" si="19"/>
        <v>0</v>
      </c>
      <c r="I317" s="661" t="str">
        <f t="shared" ca="1" si="15"/>
        <v/>
      </c>
      <c r="J317" s="661" t="str">
        <f t="shared" ca="1" si="16"/>
        <v/>
      </c>
      <c r="K317" s="661" t="str">
        <f t="shared" ca="1" si="17"/>
        <v/>
      </c>
      <c r="L317" s="661" t="str">
        <f t="shared" ca="1" si="18"/>
        <v/>
      </c>
      <c r="M317" s="260"/>
      <c r="N317" s="273"/>
      <c r="O317" s="274"/>
    </row>
    <row r="318" spans="1:15" ht="13.95" customHeight="1" x14ac:dyDescent="0.25">
      <c r="A318" s="166"/>
      <c r="B318" s="269"/>
      <c r="C318" s="372"/>
      <c r="D318" s="542" t="s">
        <v>62</v>
      </c>
      <c r="E318" s="856">
        <f ca="1">VLOOKUP($D318,Data!$C$2:$H$384,6,FALSE)</f>
        <v>0</v>
      </c>
      <c r="F318" s="372"/>
      <c r="G318" s="542" t="s">
        <v>62</v>
      </c>
      <c r="H318" s="853">
        <f t="shared" ca="1" si="19"/>
        <v>0</v>
      </c>
      <c r="I318" s="661" t="str">
        <f t="shared" ca="1" si="15"/>
        <v/>
      </c>
      <c r="J318" s="661" t="str">
        <f t="shared" ca="1" si="16"/>
        <v/>
      </c>
      <c r="K318" s="661" t="str">
        <f t="shared" ca="1" si="17"/>
        <v/>
      </c>
      <c r="L318" s="661" t="str">
        <f t="shared" ca="1" si="18"/>
        <v/>
      </c>
      <c r="M318" s="260"/>
      <c r="N318" s="273"/>
      <c r="O318" s="274"/>
    </row>
    <row r="319" spans="1:15" ht="13.95" customHeight="1" x14ac:dyDescent="0.25">
      <c r="A319" s="166"/>
      <c r="B319" s="269"/>
      <c r="C319" s="372"/>
      <c r="D319" s="542" t="s">
        <v>65</v>
      </c>
      <c r="E319" s="856">
        <f ca="1">VLOOKUP($D319,Data!$C$2:$H$384,6,FALSE)</f>
        <v>0</v>
      </c>
      <c r="F319" s="372"/>
      <c r="G319" s="542" t="s">
        <v>65</v>
      </c>
      <c r="H319" s="853">
        <f t="shared" ca="1" si="19"/>
        <v>0</v>
      </c>
      <c r="I319" s="661" t="str">
        <f t="shared" ca="1" si="15"/>
        <v/>
      </c>
      <c r="J319" s="661" t="str">
        <f t="shared" ca="1" si="16"/>
        <v/>
      </c>
      <c r="K319" s="661" t="str">
        <f t="shared" ca="1" si="17"/>
        <v/>
      </c>
      <c r="L319" s="661" t="str">
        <f t="shared" ca="1" si="18"/>
        <v/>
      </c>
      <c r="M319" s="260"/>
      <c r="N319" s="273"/>
      <c r="O319" s="274"/>
    </row>
    <row r="320" spans="1:15" ht="13.95" customHeight="1" x14ac:dyDescent="0.25">
      <c r="A320" s="166"/>
      <c r="B320" s="269"/>
      <c r="C320" s="372"/>
      <c r="D320" s="542" t="s">
        <v>68</v>
      </c>
      <c r="E320" s="856">
        <f ca="1">VLOOKUP($D320,Data!$C$2:$H$384,6,FALSE)</f>
        <v>0</v>
      </c>
      <c r="F320" s="372"/>
      <c r="G320" s="542" t="s">
        <v>68</v>
      </c>
      <c r="H320" s="853">
        <f t="shared" ca="1" si="19"/>
        <v>0</v>
      </c>
      <c r="I320" s="661" t="str">
        <f t="shared" ca="1" si="15"/>
        <v/>
      </c>
      <c r="J320" s="661" t="str">
        <f t="shared" ca="1" si="16"/>
        <v/>
      </c>
      <c r="K320" s="661" t="str">
        <f t="shared" ca="1" si="17"/>
        <v/>
      </c>
      <c r="L320" s="661" t="str">
        <f t="shared" ca="1" si="18"/>
        <v/>
      </c>
      <c r="M320" s="260"/>
      <c r="N320" s="273"/>
      <c r="O320" s="274"/>
    </row>
    <row r="321" spans="1:15" ht="13.95" customHeight="1" x14ac:dyDescent="0.25">
      <c r="A321" s="166"/>
      <c r="B321" s="269"/>
      <c r="C321" s="372"/>
      <c r="D321" s="542" t="s">
        <v>945</v>
      </c>
      <c r="E321" s="856">
        <f ca="1">VLOOKUP($D321,Data!$C$2:$H$384,6,FALSE)</f>
        <v>0</v>
      </c>
      <c r="F321" s="372"/>
      <c r="G321" s="542" t="s">
        <v>945</v>
      </c>
      <c r="H321" s="853">
        <f t="shared" ca="1" si="19"/>
        <v>0</v>
      </c>
      <c r="I321" s="661" t="str">
        <f t="shared" ca="1" si="15"/>
        <v/>
      </c>
      <c r="J321" s="661" t="str">
        <f t="shared" ca="1" si="16"/>
        <v/>
      </c>
      <c r="K321" s="661" t="str">
        <f t="shared" ca="1" si="17"/>
        <v/>
      </c>
      <c r="L321" s="661" t="str">
        <f t="shared" ca="1" si="18"/>
        <v/>
      </c>
      <c r="M321" s="260"/>
      <c r="N321" s="273"/>
      <c r="O321" s="274"/>
    </row>
    <row r="322" spans="1:15" ht="13.95" customHeight="1" x14ac:dyDescent="0.25">
      <c r="A322" s="166"/>
      <c r="B322" s="269"/>
      <c r="C322" s="372"/>
      <c r="D322" s="542" t="s">
        <v>946</v>
      </c>
      <c r="E322" s="856">
        <f ca="1">VLOOKUP($D322,Data!$C$2:$H$384,6,FALSE)</f>
        <v>0</v>
      </c>
      <c r="F322" s="372"/>
      <c r="G322" s="542" t="s">
        <v>946</v>
      </c>
      <c r="H322" s="853">
        <f t="shared" ca="1" si="19"/>
        <v>0</v>
      </c>
      <c r="I322" s="661" t="str">
        <f t="shared" ca="1" si="15"/>
        <v/>
      </c>
      <c r="J322" s="661" t="str">
        <f t="shared" ca="1" si="16"/>
        <v/>
      </c>
      <c r="K322" s="661" t="str">
        <f t="shared" ca="1" si="17"/>
        <v/>
      </c>
      <c r="L322" s="661" t="str">
        <f t="shared" ca="1" si="18"/>
        <v/>
      </c>
      <c r="M322" s="260"/>
      <c r="N322" s="273"/>
      <c r="O322" s="274"/>
    </row>
    <row r="323" spans="1:15" ht="13.95" customHeight="1" x14ac:dyDescent="0.25">
      <c r="A323" s="166"/>
      <c r="B323" s="269"/>
      <c r="C323" s="372"/>
      <c r="D323" s="542" t="s">
        <v>947</v>
      </c>
      <c r="E323" s="856">
        <f ca="1">VLOOKUP($D323,Data!$C$2:$H$384,6,FALSE)</f>
        <v>0</v>
      </c>
      <c r="F323" s="372"/>
      <c r="G323" s="542" t="s">
        <v>947</v>
      </c>
      <c r="H323" s="853">
        <f t="shared" ca="1" si="19"/>
        <v>0</v>
      </c>
      <c r="I323" s="661" t="str">
        <f t="shared" ca="1" si="15"/>
        <v/>
      </c>
      <c r="J323" s="661" t="str">
        <f t="shared" ca="1" si="16"/>
        <v/>
      </c>
      <c r="K323" s="661" t="str">
        <f t="shared" ca="1" si="17"/>
        <v/>
      </c>
      <c r="L323" s="661" t="str">
        <f t="shared" ca="1" si="18"/>
        <v/>
      </c>
      <c r="M323" s="260"/>
      <c r="N323" s="273"/>
      <c r="O323" s="274"/>
    </row>
    <row r="324" spans="1:15" ht="13.95" customHeight="1" x14ac:dyDescent="0.25">
      <c r="A324" s="166"/>
      <c r="B324" s="269"/>
      <c r="C324" s="372"/>
      <c r="D324" s="542" t="s">
        <v>948</v>
      </c>
      <c r="E324" s="856">
        <f ca="1">VLOOKUP($D324,Data!$C$2:$H$384,6,FALSE)</f>
        <v>0</v>
      </c>
      <c r="F324" s="372"/>
      <c r="G324" s="542" t="s">
        <v>948</v>
      </c>
      <c r="H324" s="853">
        <f t="shared" ca="1" si="19"/>
        <v>0</v>
      </c>
      <c r="I324" s="661" t="str">
        <f t="shared" ca="1" si="15"/>
        <v/>
      </c>
      <c r="J324" s="661" t="str">
        <f t="shared" ca="1" si="16"/>
        <v/>
      </c>
      <c r="K324" s="661" t="str">
        <f t="shared" ca="1" si="17"/>
        <v/>
      </c>
      <c r="L324" s="661" t="str">
        <f t="shared" ca="1" si="18"/>
        <v/>
      </c>
      <c r="M324" s="260"/>
      <c r="N324" s="273"/>
      <c r="O324" s="274"/>
    </row>
    <row r="325" spans="1:15" ht="13.95" customHeight="1" x14ac:dyDescent="0.25">
      <c r="A325" s="166"/>
      <c r="B325" s="269"/>
      <c r="C325" s="372"/>
      <c r="D325" s="542" t="s">
        <v>949</v>
      </c>
      <c r="E325" s="856">
        <f ca="1">VLOOKUP($D325,Data!$C$2:$H$384,6,FALSE)</f>
        <v>0</v>
      </c>
      <c r="F325" s="372"/>
      <c r="G325" s="542" t="s">
        <v>949</v>
      </c>
      <c r="H325" s="853">
        <f t="shared" ca="1" si="19"/>
        <v>0</v>
      </c>
      <c r="I325" s="661" t="str">
        <f t="shared" ca="1" si="15"/>
        <v/>
      </c>
      <c r="J325" s="661" t="str">
        <f t="shared" ca="1" si="16"/>
        <v/>
      </c>
      <c r="K325" s="661" t="str">
        <f t="shared" ca="1" si="17"/>
        <v/>
      </c>
      <c r="L325" s="661" t="str">
        <f t="shared" ca="1" si="18"/>
        <v/>
      </c>
      <c r="M325" s="260"/>
      <c r="N325" s="273"/>
      <c r="O325" s="274"/>
    </row>
    <row r="326" spans="1:15" ht="13.95" customHeight="1" x14ac:dyDescent="0.25">
      <c r="A326" s="166"/>
      <c r="B326" s="269"/>
      <c r="C326" s="372"/>
      <c r="D326" s="542" t="s">
        <v>950</v>
      </c>
      <c r="E326" s="856">
        <f ca="1">VLOOKUP($D326,Data!$C$2:$H$384,6,FALSE)</f>
        <v>0</v>
      </c>
      <c r="F326" s="372"/>
      <c r="G326" s="542" t="s">
        <v>950</v>
      </c>
      <c r="H326" s="853">
        <f t="shared" ca="1" si="19"/>
        <v>0</v>
      </c>
      <c r="I326" s="661" t="str">
        <f t="shared" ca="1" si="15"/>
        <v/>
      </c>
      <c r="J326" s="661" t="str">
        <f t="shared" ca="1" si="16"/>
        <v/>
      </c>
      <c r="K326" s="661" t="str">
        <f t="shared" ca="1" si="17"/>
        <v/>
      </c>
      <c r="L326" s="661" t="str">
        <f t="shared" ca="1" si="18"/>
        <v/>
      </c>
      <c r="M326" s="260"/>
      <c r="N326" s="273"/>
      <c r="O326" s="274"/>
    </row>
    <row r="327" spans="1:15" ht="13.95" customHeight="1" x14ac:dyDescent="0.25">
      <c r="A327" s="166"/>
      <c r="B327" s="269"/>
      <c r="C327" s="372"/>
      <c r="D327" s="542" t="s">
        <v>951</v>
      </c>
      <c r="E327" s="856">
        <f ca="1">VLOOKUP($D327,Data!$C$2:$H$384,6,FALSE)</f>
        <v>0</v>
      </c>
      <c r="F327" s="372"/>
      <c r="G327" s="542" t="s">
        <v>951</v>
      </c>
      <c r="H327" s="853">
        <f t="shared" ca="1" si="19"/>
        <v>0</v>
      </c>
      <c r="I327" s="661" t="str">
        <f t="shared" ca="1" si="15"/>
        <v/>
      </c>
      <c r="J327" s="661" t="str">
        <f t="shared" ca="1" si="16"/>
        <v/>
      </c>
      <c r="K327" s="661" t="str">
        <f t="shared" ca="1" si="17"/>
        <v/>
      </c>
      <c r="L327" s="661" t="str">
        <f t="shared" ca="1" si="18"/>
        <v/>
      </c>
      <c r="M327" s="260"/>
      <c r="N327" s="273"/>
      <c r="O327" s="274"/>
    </row>
    <row r="328" spans="1:15" ht="13.95" customHeight="1" x14ac:dyDescent="0.25">
      <c r="A328" s="166"/>
      <c r="B328" s="269"/>
      <c r="C328" s="372"/>
      <c r="D328" s="542" t="s">
        <v>952</v>
      </c>
      <c r="E328" s="856">
        <f ca="1">VLOOKUP($D328,Data!$C$2:$H$384,6,FALSE)</f>
        <v>0</v>
      </c>
      <c r="F328" s="372"/>
      <c r="G328" s="542" t="s">
        <v>952</v>
      </c>
      <c r="H328" s="853">
        <f t="shared" ca="1" si="19"/>
        <v>0</v>
      </c>
      <c r="I328" s="661" t="str">
        <f t="shared" ca="1" si="15"/>
        <v/>
      </c>
      <c r="J328" s="661" t="str">
        <f t="shared" ca="1" si="16"/>
        <v/>
      </c>
      <c r="K328" s="661" t="str">
        <f t="shared" ca="1" si="17"/>
        <v/>
      </c>
      <c r="L328" s="661" t="str">
        <f t="shared" ca="1" si="18"/>
        <v/>
      </c>
      <c r="M328" s="260"/>
      <c r="N328" s="273"/>
      <c r="O328" s="274"/>
    </row>
    <row r="329" spans="1:15" ht="13.95" customHeight="1" x14ac:dyDescent="0.25">
      <c r="A329" s="166"/>
      <c r="B329" s="269"/>
      <c r="C329" s="372"/>
      <c r="D329" s="542" t="s">
        <v>70</v>
      </c>
      <c r="E329" s="856">
        <f ca="1">VLOOKUP($D329,Data!$C$2:$H$384,6,FALSE)</f>
        <v>0</v>
      </c>
      <c r="F329" s="372"/>
      <c r="G329" s="542" t="s">
        <v>70</v>
      </c>
      <c r="H329" s="853">
        <f t="shared" ca="1" si="19"/>
        <v>0</v>
      </c>
      <c r="I329" s="661" t="str">
        <f t="shared" ca="1" si="15"/>
        <v/>
      </c>
      <c r="J329" s="661" t="str">
        <f t="shared" ca="1" si="16"/>
        <v/>
      </c>
      <c r="K329" s="661" t="str">
        <f t="shared" ca="1" si="17"/>
        <v/>
      </c>
      <c r="L329" s="661" t="str">
        <f t="shared" ca="1" si="18"/>
        <v/>
      </c>
      <c r="M329" s="260"/>
      <c r="N329" s="273"/>
      <c r="O329" s="274"/>
    </row>
    <row r="330" spans="1:15" ht="13.95" customHeight="1" x14ac:dyDescent="0.25">
      <c r="A330" s="166"/>
      <c r="B330" s="269"/>
      <c r="C330" s="372"/>
      <c r="D330" s="542" t="s">
        <v>72</v>
      </c>
      <c r="E330" s="856">
        <f ca="1">VLOOKUP($D330,Data!$C$2:$H$384,6,FALSE)</f>
        <v>0</v>
      </c>
      <c r="F330" s="372"/>
      <c r="G330" s="542" t="s">
        <v>72</v>
      </c>
      <c r="H330" s="853">
        <f t="shared" ca="1" si="19"/>
        <v>0</v>
      </c>
      <c r="I330" s="661" t="str">
        <f t="shared" ca="1" si="15"/>
        <v/>
      </c>
      <c r="J330" s="661" t="str">
        <f t="shared" ca="1" si="16"/>
        <v/>
      </c>
      <c r="K330" s="661" t="str">
        <f t="shared" ca="1" si="17"/>
        <v/>
      </c>
      <c r="L330" s="661" t="str">
        <f t="shared" ca="1" si="18"/>
        <v/>
      </c>
      <c r="M330" s="260"/>
      <c r="N330" s="273"/>
      <c r="O330" s="274"/>
    </row>
    <row r="331" spans="1:15" ht="13.95" customHeight="1" x14ac:dyDescent="0.25">
      <c r="A331" s="166"/>
      <c r="B331" s="269"/>
      <c r="C331" s="372"/>
      <c r="D331" s="542" t="s">
        <v>75</v>
      </c>
      <c r="E331" s="856">
        <f ca="1">VLOOKUP($D331,Data!$C$2:$H$384,6,FALSE)</f>
        <v>0</v>
      </c>
      <c r="F331" s="372"/>
      <c r="G331" s="542" t="s">
        <v>75</v>
      </c>
      <c r="H331" s="853">
        <f t="shared" ca="1" si="19"/>
        <v>0</v>
      </c>
      <c r="I331" s="661" t="str">
        <f t="shared" ca="1" si="15"/>
        <v/>
      </c>
      <c r="J331" s="661" t="str">
        <f t="shared" ca="1" si="16"/>
        <v/>
      </c>
      <c r="K331" s="661" t="str">
        <f t="shared" ca="1" si="17"/>
        <v/>
      </c>
      <c r="L331" s="661" t="str">
        <f t="shared" ca="1" si="18"/>
        <v/>
      </c>
      <c r="M331" s="260"/>
      <c r="N331" s="273"/>
      <c r="O331" s="274"/>
    </row>
    <row r="332" spans="1:15" ht="13.95" customHeight="1" x14ac:dyDescent="0.25">
      <c r="A332" s="166"/>
      <c r="B332" s="269"/>
      <c r="C332" s="372"/>
      <c r="D332" s="542" t="s">
        <v>78</v>
      </c>
      <c r="E332" s="856">
        <f ca="1">VLOOKUP($D332,Data!$C$2:$H$384,6,FALSE)</f>
        <v>0</v>
      </c>
      <c r="F332" s="372"/>
      <c r="G332" s="542" t="s">
        <v>78</v>
      </c>
      <c r="H332" s="853">
        <f t="shared" ca="1" si="19"/>
        <v>0</v>
      </c>
      <c r="I332" s="661" t="str">
        <f t="shared" ca="1" si="15"/>
        <v/>
      </c>
      <c r="J332" s="661" t="str">
        <f t="shared" ca="1" si="16"/>
        <v/>
      </c>
      <c r="K332" s="661" t="str">
        <f t="shared" ca="1" si="17"/>
        <v/>
      </c>
      <c r="L332" s="661" t="str">
        <f t="shared" ca="1" si="18"/>
        <v/>
      </c>
      <c r="M332" s="260"/>
      <c r="N332" s="273"/>
      <c r="O332" s="274"/>
    </row>
    <row r="333" spans="1:15" ht="13.95" customHeight="1" x14ac:dyDescent="0.25">
      <c r="A333" s="166"/>
      <c r="B333" s="269"/>
      <c r="C333" s="372"/>
      <c r="D333" s="542" t="s">
        <v>80</v>
      </c>
      <c r="E333" s="856">
        <f ca="1">VLOOKUP($D333,Data!$C$2:$H$384,6,FALSE)</f>
        <v>0</v>
      </c>
      <c r="F333" s="372"/>
      <c r="G333" s="542" t="s">
        <v>80</v>
      </c>
      <c r="H333" s="853">
        <f t="shared" ca="1" si="19"/>
        <v>0</v>
      </c>
      <c r="I333" s="661" t="str">
        <f t="shared" ca="1" si="15"/>
        <v/>
      </c>
      <c r="J333" s="661" t="str">
        <f t="shared" ca="1" si="16"/>
        <v/>
      </c>
      <c r="K333" s="661" t="str">
        <f t="shared" ca="1" si="17"/>
        <v/>
      </c>
      <c r="L333" s="661" t="str">
        <f t="shared" ca="1" si="18"/>
        <v/>
      </c>
      <c r="M333" s="260"/>
      <c r="N333" s="273"/>
      <c r="O333" s="274"/>
    </row>
    <row r="334" spans="1:15" ht="13.95" customHeight="1" x14ac:dyDescent="0.25">
      <c r="A334" s="166"/>
      <c r="B334" s="269"/>
      <c r="C334" s="372"/>
      <c r="D334" s="542" t="s">
        <v>82</v>
      </c>
      <c r="E334" s="856">
        <f ca="1">VLOOKUP($D334,Data!$C$2:$H$384,6,FALSE)</f>
        <v>0</v>
      </c>
      <c r="F334" s="372"/>
      <c r="G334" s="542" t="s">
        <v>82</v>
      </c>
      <c r="H334" s="853">
        <f t="shared" ca="1" si="19"/>
        <v>0</v>
      </c>
      <c r="I334" s="661" t="str">
        <f t="shared" ca="1" si="15"/>
        <v/>
      </c>
      <c r="J334" s="661" t="str">
        <f t="shared" ca="1" si="16"/>
        <v/>
      </c>
      <c r="K334" s="661" t="str">
        <f t="shared" ca="1" si="17"/>
        <v/>
      </c>
      <c r="L334" s="661" t="str">
        <f t="shared" ca="1" si="18"/>
        <v/>
      </c>
      <c r="M334" s="260"/>
      <c r="N334" s="273"/>
      <c r="O334" s="274"/>
    </row>
    <row r="335" spans="1:15" ht="13.95" customHeight="1" x14ac:dyDescent="0.25">
      <c r="A335" s="166"/>
      <c r="B335" s="269"/>
      <c r="C335" s="372"/>
      <c r="D335" s="542" t="s">
        <v>84</v>
      </c>
      <c r="E335" s="856">
        <f ca="1">VLOOKUP($D335,Data!$C$2:$H$384,6,FALSE)</f>
        <v>0</v>
      </c>
      <c r="F335" s="372"/>
      <c r="G335" s="542" t="s">
        <v>84</v>
      </c>
      <c r="H335" s="853">
        <f t="shared" ca="1" si="19"/>
        <v>0</v>
      </c>
      <c r="I335" s="661" t="str">
        <f t="shared" ref="I335:I374" ca="1" si="20">IF(VLOOKUP(RIGHT($G335,LEN($G335)-FIND("-",$G335)), INDIRECT("'"&amp;LEFT($G335,FIND("-",$G335)-1)&amp;"'!"&amp;"$D:$K"), 5,FALSE) = 0, "",
VLOOKUP(RIGHT($G335,LEN($G335)-FIND("-",$G335)), INDIRECT("'"&amp;LEFT($G335,FIND("-",$G335)-1)&amp;"'!"&amp;"$D:$K"), 5,FALSE) )</f>
        <v/>
      </c>
      <c r="J335" s="661" t="str">
        <f t="shared" ref="J335:J374" ca="1" si="21">IF(VLOOKUP(RIGHT($G335,LEN($G335)-FIND("-",$G335)), INDIRECT("'"&amp;LEFT($G335,FIND("-",$G335)-1)&amp;"'!"&amp;"$D:$K"), 6,FALSE) = 0, "",
VLOOKUP(RIGHT($G335,LEN($G335)-FIND("-",$G335)), INDIRECT("'"&amp;LEFT($G335,FIND("-",$G335)-1)&amp;"'!"&amp;"$D:$K"), 6,FALSE) )</f>
        <v/>
      </c>
      <c r="K335" s="661" t="str">
        <f t="shared" ref="K335:K374" ca="1" si="22">IF(VLOOKUP(RIGHT($G335,LEN($G335)-FIND("-",$G335)), INDIRECT("'"&amp;LEFT($G335,FIND("-",$G335)-1)&amp;"'!"&amp;"$D:$K"), 7,FALSE) = 0, "",
VLOOKUP(RIGHT($G335,LEN($G335)-FIND("-",$G335)), INDIRECT("'"&amp;LEFT($G335,FIND("-",$G335)-1)&amp;"'!"&amp;"$D:$K"), 7,FALSE) )</f>
        <v/>
      </c>
      <c r="L335" s="661" t="str">
        <f t="shared" ref="L335:L374" ca="1" si="23">IF(VLOOKUP(RIGHT($G335,LEN($G335)-FIND("-",$G335)), INDIRECT("'"&amp;LEFT($G335,FIND("-",$G335)-1)&amp;"'!"&amp;"$D:$K"), 8,FALSE) = 0, "",
VLOOKUP(RIGHT($G335,LEN($G335)-FIND("-",$G335)), INDIRECT("'"&amp;LEFT($G335,FIND("-",$G335)-1)&amp;"'!"&amp;"$D:$K"), 8,FALSE) )</f>
        <v/>
      </c>
      <c r="M335" s="260"/>
      <c r="N335" s="273"/>
      <c r="O335" s="274"/>
    </row>
    <row r="336" spans="1:15" ht="13.95" customHeight="1" x14ac:dyDescent="0.25">
      <c r="A336" s="166"/>
      <c r="B336" s="269"/>
      <c r="C336" s="372"/>
      <c r="D336" s="542" t="s">
        <v>953</v>
      </c>
      <c r="E336" s="856">
        <f ca="1">VLOOKUP($D336,Data!$C$2:$H$384,6,FALSE)</f>
        <v>0</v>
      </c>
      <c r="F336" s="372"/>
      <c r="G336" s="542" t="s">
        <v>953</v>
      </c>
      <c r="H336" s="853">
        <f t="shared" ref="H336:H374" ca="1" si="24">INT(LEFT(
VLOOKUP(RIGHT($G336,LEN($G336)-FIND("-",$G336)), INDIRECT("'"&amp;LEFT($G336,FIND("-",$G336)-1)&amp;"'!"&amp;"$D:$K"), 4,FALSE), 1)
)</f>
        <v>0</v>
      </c>
      <c r="I336" s="661" t="str">
        <f t="shared" ca="1" si="20"/>
        <v/>
      </c>
      <c r="J336" s="661" t="str">
        <f t="shared" ca="1" si="21"/>
        <v/>
      </c>
      <c r="K336" s="661" t="str">
        <f t="shared" ca="1" si="22"/>
        <v/>
      </c>
      <c r="L336" s="661" t="str">
        <f t="shared" ca="1" si="23"/>
        <v/>
      </c>
      <c r="M336" s="260"/>
      <c r="N336" s="273"/>
      <c r="O336" s="274"/>
    </row>
    <row r="337" spans="1:15" ht="13.95" customHeight="1" x14ac:dyDescent="0.25">
      <c r="A337" s="166"/>
      <c r="B337" s="269"/>
      <c r="C337" s="372"/>
      <c r="D337" s="542" t="s">
        <v>954</v>
      </c>
      <c r="E337" s="856">
        <f ca="1">VLOOKUP($D337,Data!$C$2:$H$384,6,FALSE)</f>
        <v>0</v>
      </c>
      <c r="F337" s="372"/>
      <c r="G337" s="542" t="s">
        <v>954</v>
      </c>
      <c r="H337" s="853">
        <f t="shared" ca="1" si="24"/>
        <v>0</v>
      </c>
      <c r="I337" s="661" t="str">
        <f t="shared" ca="1" si="20"/>
        <v/>
      </c>
      <c r="J337" s="661" t="str">
        <f t="shared" ca="1" si="21"/>
        <v/>
      </c>
      <c r="K337" s="661" t="str">
        <f t="shared" ca="1" si="22"/>
        <v/>
      </c>
      <c r="L337" s="661" t="str">
        <f t="shared" ca="1" si="23"/>
        <v/>
      </c>
      <c r="M337" s="260"/>
      <c r="N337" s="273"/>
      <c r="O337" s="274"/>
    </row>
    <row r="338" spans="1:15" ht="13.95" customHeight="1" x14ac:dyDescent="0.25">
      <c r="A338" s="166"/>
      <c r="B338" s="269"/>
      <c r="C338" s="372"/>
      <c r="D338" s="542" t="s">
        <v>955</v>
      </c>
      <c r="E338" s="856">
        <f ca="1">VLOOKUP($D338,Data!$C$2:$H$384,6,FALSE)</f>
        <v>0</v>
      </c>
      <c r="F338" s="372"/>
      <c r="G338" s="542" t="s">
        <v>955</v>
      </c>
      <c r="H338" s="853">
        <f t="shared" ca="1" si="24"/>
        <v>0</v>
      </c>
      <c r="I338" s="661" t="str">
        <f t="shared" ca="1" si="20"/>
        <v/>
      </c>
      <c r="J338" s="661" t="str">
        <f t="shared" ca="1" si="21"/>
        <v/>
      </c>
      <c r="K338" s="661" t="str">
        <f t="shared" ca="1" si="22"/>
        <v/>
      </c>
      <c r="L338" s="661" t="str">
        <f t="shared" ca="1" si="23"/>
        <v/>
      </c>
      <c r="M338" s="260"/>
      <c r="N338" s="273"/>
      <c r="O338" s="274"/>
    </row>
    <row r="339" spans="1:15" ht="13.95" customHeight="1" x14ac:dyDescent="0.25">
      <c r="A339" s="166"/>
      <c r="B339" s="269"/>
      <c r="C339" s="372"/>
      <c r="D339" s="542" t="s">
        <v>956</v>
      </c>
      <c r="E339" s="856">
        <f ca="1">VLOOKUP($D339,Data!$C$2:$H$384,6,FALSE)</f>
        <v>0</v>
      </c>
      <c r="F339" s="372"/>
      <c r="G339" s="542" t="s">
        <v>956</v>
      </c>
      <c r="H339" s="853">
        <f t="shared" ca="1" si="24"/>
        <v>0</v>
      </c>
      <c r="I339" s="661" t="str">
        <f t="shared" ca="1" si="20"/>
        <v/>
      </c>
      <c r="J339" s="661" t="str">
        <f t="shared" ca="1" si="21"/>
        <v/>
      </c>
      <c r="K339" s="661" t="str">
        <f t="shared" ca="1" si="22"/>
        <v/>
      </c>
      <c r="L339" s="661" t="str">
        <f t="shared" ca="1" si="23"/>
        <v/>
      </c>
      <c r="M339" s="260"/>
      <c r="N339" s="273"/>
      <c r="O339" s="274"/>
    </row>
    <row r="340" spans="1:15" ht="13.95" customHeight="1" x14ac:dyDescent="0.25">
      <c r="A340" s="166"/>
      <c r="B340" s="269"/>
      <c r="C340" s="372"/>
      <c r="D340" s="542" t="s">
        <v>957</v>
      </c>
      <c r="E340" s="856">
        <f ca="1">VLOOKUP($D340,Data!$C$2:$H$384,6,FALSE)</f>
        <v>0</v>
      </c>
      <c r="F340" s="372"/>
      <c r="G340" s="542" t="s">
        <v>957</v>
      </c>
      <c r="H340" s="853">
        <f t="shared" ca="1" si="24"/>
        <v>0</v>
      </c>
      <c r="I340" s="661" t="str">
        <f t="shared" ca="1" si="20"/>
        <v/>
      </c>
      <c r="J340" s="661" t="str">
        <f t="shared" ca="1" si="21"/>
        <v/>
      </c>
      <c r="K340" s="661" t="str">
        <f t="shared" ca="1" si="22"/>
        <v/>
      </c>
      <c r="L340" s="661" t="str">
        <f t="shared" ca="1" si="23"/>
        <v/>
      </c>
      <c r="M340" s="260"/>
      <c r="N340" s="273"/>
      <c r="O340" s="274"/>
    </row>
    <row r="341" spans="1:15" ht="13.95" customHeight="1" x14ac:dyDescent="0.25">
      <c r="A341" s="166"/>
      <c r="B341" s="269"/>
      <c r="C341" s="372"/>
      <c r="D341" s="542" t="s">
        <v>958</v>
      </c>
      <c r="E341" s="856">
        <f ca="1">VLOOKUP($D341,Data!$C$2:$H$384,6,FALSE)</f>
        <v>0</v>
      </c>
      <c r="F341" s="372"/>
      <c r="G341" s="542" t="s">
        <v>958</v>
      </c>
      <c r="H341" s="853">
        <f t="shared" ca="1" si="24"/>
        <v>0</v>
      </c>
      <c r="I341" s="661" t="str">
        <f t="shared" ca="1" si="20"/>
        <v/>
      </c>
      <c r="J341" s="661" t="str">
        <f t="shared" ca="1" si="21"/>
        <v/>
      </c>
      <c r="K341" s="661" t="str">
        <f t="shared" ca="1" si="22"/>
        <v/>
      </c>
      <c r="L341" s="661" t="str">
        <f t="shared" ca="1" si="23"/>
        <v/>
      </c>
      <c r="M341" s="260"/>
      <c r="N341" s="273"/>
      <c r="O341" s="274"/>
    </row>
    <row r="342" spans="1:15" ht="13.95" customHeight="1" x14ac:dyDescent="0.25">
      <c r="A342" s="166"/>
      <c r="B342" s="269"/>
      <c r="C342" s="372"/>
      <c r="D342" s="542" t="s">
        <v>959</v>
      </c>
      <c r="E342" s="856">
        <f ca="1">VLOOKUP($D342,Data!$C$2:$H$384,6,FALSE)</f>
        <v>0</v>
      </c>
      <c r="F342" s="372"/>
      <c r="G342" s="542" t="s">
        <v>959</v>
      </c>
      <c r="H342" s="853">
        <f t="shared" ca="1" si="24"/>
        <v>0</v>
      </c>
      <c r="I342" s="661" t="str">
        <f t="shared" ca="1" si="20"/>
        <v/>
      </c>
      <c r="J342" s="661" t="str">
        <f t="shared" ca="1" si="21"/>
        <v/>
      </c>
      <c r="K342" s="661" t="str">
        <f t="shared" ca="1" si="22"/>
        <v/>
      </c>
      <c r="L342" s="661" t="str">
        <f t="shared" ca="1" si="23"/>
        <v/>
      </c>
      <c r="M342" s="260"/>
      <c r="N342" s="273"/>
      <c r="O342" s="274"/>
    </row>
    <row r="343" spans="1:15" ht="13.95" customHeight="1" x14ac:dyDescent="0.25">
      <c r="A343" s="166"/>
      <c r="B343" s="269"/>
      <c r="C343" s="372"/>
      <c r="D343" s="542" t="s">
        <v>960</v>
      </c>
      <c r="E343" s="856">
        <f ca="1">VLOOKUP($D343,Data!$C$2:$H$384,6,FALSE)</f>
        <v>0</v>
      </c>
      <c r="F343" s="372"/>
      <c r="G343" s="542" t="s">
        <v>960</v>
      </c>
      <c r="H343" s="853">
        <f t="shared" ca="1" si="24"/>
        <v>0</v>
      </c>
      <c r="I343" s="661" t="str">
        <f t="shared" ca="1" si="20"/>
        <v/>
      </c>
      <c r="J343" s="661" t="str">
        <f t="shared" ca="1" si="21"/>
        <v/>
      </c>
      <c r="K343" s="661" t="str">
        <f t="shared" ca="1" si="22"/>
        <v/>
      </c>
      <c r="L343" s="661" t="str">
        <f t="shared" ca="1" si="23"/>
        <v/>
      </c>
      <c r="M343" s="260"/>
      <c r="N343" s="273"/>
      <c r="O343" s="274"/>
    </row>
    <row r="344" spans="1:15" ht="13.95" customHeight="1" x14ac:dyDescent="0.25">
      <c r="A344" s="166"/>
      <c r="B344" s="269"/>
      <c r="C344" s="372"/>
      <c r="D344" s="542" t="s">
        <v>961</v>
      </c>
      <c r="E344" s="856">
        <f ca="1">VLOOKUP($D344,Data!$C$2:$H$384,6,FALSE)</f>
        <v>0</v>
      </c>
      <c r="F344" s="372"/>
      <c r="G344" s="542" t="s">
        <v>961</v>
      </c>
      <c r="H344" s="853">
        <f t="shared" ca="1" si="24"/>
        <v>0</v>
      </c>
      <c r="I344" s="661" t="str">
        <f t="shared" ca="1" si="20"/>
        <v/>
      </c>
      <c r="J344" s="661" t="str">
        <f t="shared" ca="1" si="21"/>
        <v/>
      </c>
      <c r="K344" s="661" t="str">
        <f t="shared" ca="1" si="22"/>
        <v/>
      </c>
      <c r="L344" s="661" t="str">
        <f t="shared" ca="1" si="23"/>
        <v/>
      </c>
      <c r="M344" s="260"/>
      <c r="N344" s="273"/>
      <c r="O344" s="274"/>
    </row>
    <row r="345" spans="1:15" ht="13.95" customHeight="1" x14ac:dyDescent="0.25">
      <c r="A345" s="166"/>
      <c r="B345" s="269"/>
      <c r="C345" s="372"/>
      <c r="D345" s="542" t="s">
        <v>962</v>
      </c>
      <c r="E345" s="856">
        <f ca="1">VLOOKUP($D345,Data!$C$2:$H$384,6,FALSE)</f>
        <v>0</v>
      </c>
      <c r="F345" s="372"/>
      <c r="G345" s="542" t="s">
        <v>962</v>
      </c>
      <c r="H345" s="853">
        <f t="shared" ca="1" si="24"/>
        <v>0</v>
      </c>
      <c r="I345" s="661" t="str">
        <f t="shared" ca="1" si="20"/>
        <v/>
      </c>
      <c r="J345" s="661" t="str">
        <f t="shared" ca="1" si="21"/>
        <v/>
      </c>
      <c r="K345" s="661" t="str">
        <f t="shared" ca="1" si="22"/>
        <v/>
      </c>
      <c r="L345" s="661" t="str">
        <f t="shared" ca="1" si="23"/>
        <v/>
      </c>
      <c r="M345" s="260"/>
      <c r="N345" s="273"/>
      <c r="O345" s="274"/>
    </row>
    <row r="346" spans="1:15" ht="13.95" customHeight="1" x14ac:dyDescent="0.25">
      <c r="A346" s="166"/>
      <c r="B346" s="269"/>
      <c r="C346" s="372"/>
      <c r="D346" s="542" t="s">
        <v>963</v>
      </c>
      <c r="E346" s="856">
        <f ca="1">VLOOKUP($D346,Data!$C$2:$H$384,6,FALSE)</f>
        <v>0</v>
      </c>
      <c r="F346" s="372"/>
      <c r="G346" s="542" t="s">
        <v>963</v>
      </c>
      <c r="H346" s="853">
        <f t="shared" ca="1" si="24"/>
        <v>0</v>
      </c>
      <c r="I346" s="661" t="str">
        <f t="shared" ca="1" si="20"/>
        <v/>
      </c>
      <c r="J346" s="661" t="str">
        <f t="shared" ca="1" si="21"/>
        <v/>
      </c>
      <c r="K346" s="661" t="str">
        <f t="shared" ca="1" si="22"/>
        <v/>
      </c>
      <c r="L346" s="661" t="str">
        <f t="shared" ca="1" si="23"/>
        <v/>
      </c>
      <c r="M346" s="260"/>
      <c r="N346" s="273"/>
      <c r="O346" s="274"/>
    </row>
    <row r="347" spans="1:15" ht="13.95" customHeight="1" x14ac:dyDescent="0.25">
      <c r="A347" s="166"/>
      <c r="B347" s="269"/>
      <c r="C347" s="372"/>
      <c r="D347" s="542" t="s">
        <v>211</v>
      </c>
      <c r="E347" s="856">
        <f ca="1">VLOOKUP($D347,Data!$C$2:$H$384,6,FALSE)</f>
        <v>0</v>
      </c>
      <c r="F347" s="372"/>
      <c r="G347" s="542" t="s">
        <v>211</v>
      </c>
      <c r="H347" s="853">
        <f t="shared" ca="1" si="24"/>
        <v>0</v>
      </c>
      <c r="I347" s="661" t="str">
        <f t="shared" ca="1" si="20"/>
        <v/>
      </c>
      <c r="J347" s="661" t="str">
        <f t="shared" ca="1" si="21"/>
        <v/>
      </c>
      <c r="K347" s="661" t="str">
        <f t="shared" ca="1" si="22"/>
        <v/>
      </c>
      <c r="L347" s="661" t="str">
        <f t="shared" ca="1" si="23"/>
        <v/>
      </c>
      <c r="M347" s="260"/>
      <c r="N347" s="273"/>
      <c r="O347" s="274"/>
    </row>
    <row r="348" spans="1:15" ht="13.95" customHeight="1" x14ac:dyDescent="0.25">
      <c r="A348" s="166"/>
      <c r="B348" s="269"/>
      <c r="C348" s="372"/>
      <c r="D348" s="542" t="s">
        <v>212</v>
      </c>
      <c r="E348" s="856">
        <f ca="1">VLOOKUP($D348,Data!$C$2:$H$384,6,FALSE)</f>
        <v>0</v>
      </c>
      <c r="F348" s="372"/>
      <c r="G348" s="542" t="s">
        <v>212</v>
      </c>
      <c r="H348" s="853">
        <f t="shared" ca="1" si="24"/>
        <v>0</v>
      </c>
      <c r="I348" s="661" t="str">
        <f t="shared" ca="1" si="20"/>
        <v/>
      </c>
      <c r="J348" s="661" t="str">
        <f t="shared" ca="1" si="21"/>
        <v/>
      </c>
      <c r="K348" s="661" t="str">
        <f t="shared" ca="1" si="22"/>
        <v/>
      </c>
      <c r="L348" s="661" t="str">
        <f t="shared" ca="1" si="23"/>
        <v/>
      </c>
      <c r="M348" s="260"/>
      <c r="N348" s="273"/>
      <c r="O348" s="274"/>
    </row>
    <row r="349" spans="1:15" ht="13.95" customHeight="1" x14ac:dyDescent="0.25">
      <c r="A349" s="166"/>
      <c r="B349" s="269"/>
      <c r="C349" s="372"/>
      <c r="D349" s="542" t="s">
        <v>213</v>
      </c>
      <c r="E349" s="856">
        <f ca="1">VLOOKUP($D349,Data!$C$2:$H$384,6,FALSE)</f>
        <v>0</v>
      </c>
      <c r="F349" s="372"/>
      <c r="G349" s="542" t="s">
        <v>213</v>
      </c>
      <c r="H349" s="853">
        <f t="shared" ca="1" si="24"/>
        <v>0</v>
      </c>
      <c r="I349" s="661" t="str">
        <f t="shared" ca="1" si="20"/>
        <v/>
      </c>
      <c r="J349" s="661" t="str">
        <f t="shared" ca="1" si="21"/>
        <v/>
      </c>
      <c r="K349" s="661" t="str">
        <f t="shared" ca="1" si="22"/>
        <v/>
      </c>
      <c r="L349" s="661" t="str">
        <f t="shared" ca="1" si="23"/>
        <v/>
      </c>
      <c r="M349" s="260"/>
      <c r="N349" s="273"/>
      <c r="O349" s="274"/>
    </row>
    <row r="350" spans="1:15" ht="13.95" customHeight="1" x14ac:dyDescent="0.25">
      <c r="A350" s="166"/>
      <c r="B350" s="269"/>
      <c r="C350" s="372"/>
      <c r="D350" s="542" t="s">
        <v>214</v>
      </c>
      <c r="E350" s="856">
        <f ca="1">VLOOKUP($D350,Data!$C$2:$H$384,6,FALSE)</f>
        <v>0</v>
      </c>
      <c r="F350" s="372"/>
      <c r="G350" s="542" t="s">
        <v>214</v>
      </c>
      <c r="H350" s="853">
        <f t="shared" ca="1" si="24"/>
        <v>0</v>
      </c>
      <c r="I350" s="661" t="str">
        <f t="shared" ca="1" si="20"/>
        <v/>
      </c>
      <c r="J350" s="661" t="str">
        <f t="shared" ca="1" si="21"/>
        <v/>
      </c>
      <c r="K350" s="661" t="str">
        <f t="shared" ca="1" si="22"/>
        <v/>
      </c>
      <c r="L350" s="661" t="str">
        <f t="shared" ca="1" si="23"/>
        <v/>
      </c>
      <c r="M350" s="260"/>
      <c r="N350" s="273"/>
      <c r="O350" s="274"/>
    </row>
    <row r="351" spans="1:15" ht="13.95" customHeight="1" x14ac:dyDescent="0.25">
      <c r="A351" s="166"/>
      <c r="B351" s="269"/>
      <c r="C351" s="372"/>
      <c r="D351" s="542" t="s">
        <v>973</v>
      </c>
      <c r="E351" s="856">
        <f ca="1">VLOOKUP($D351,Data!$C$2:$H$384,6,FALSE)</f>
        <v>0</v>
      </c>
      <c r="F351" s="372"/>
      <c r="G351" s="542" t="s">
        <v>973</v>
      </c>
      <c r="H351" s="853">
        <f t="shared" ca="1" si="24"/>
        <v>0</v>
      </c>
      <c r="I351" s="661" t="str">
        <f t="shared" ca="1" si="20"/>
        <v/>
      </c>
      <c r="J351" s="661" t="str">
        <f t="shared" ca="1" si="21"/>
        <v/>
      </c>
      <c r="K351" s="661" t="str">
        <f t="shared" ca="1" si="22"/>
        <v/>
      </c>
      <c r="L351" s="661" t="str">
        <f t="shared" ca="1" si="23"/>
        <v/>
      </c>
      <c r="M351" s="260"/>
      <c r="N351" s="273"/>
      <c r="O351" s="274"/>
    </row>
    <row r="352" spans="1:15" ht="13.95" customHeight="1" x14ac:dyDescent="0.25">
      <c r="A352" s="166"/>
      <c r="B352" s="269"/>
      <c r="C352" s="372"/>
      <c r="D352" s="542" t="s">
        <v>2618</v>
      </c>
      <c r="E352" s="856">
        <f ca="1">VLOOKUP($D352,Data!$C$2:$H$384,6,FALSE)</f>
        <v>0</v>
      </c>
      <c r="F352" s="372"/>
      <c r="G352" s="542" t="s">
        <v>2618</v>
      </c>
      <c r="H352" s="853">
        <f t="shared" ca="1" si="24"/>
        <v>0</v>
      </c>
      <c r="I352" s="661" t="str">
        <f t="shared" ca="1" si="20"/>
        <v/>
      </c>
      <c r="J352" s="661" t="str">
        <f t="shared" ca="1" si="21"/>
        <v/>
      </c>
      <c r="K352" s="661" t="str">
        <f t="shared" ca="1" si="22"/>
        <v/>
      </c>
      <c r="L352" s="661" t="str">
        <f t="shared" ca="1" si="23"/>
        <v/>
      </c>
      <c r="M352" s="260"/>
      <c r="N352" s="273"/>
      <c r="O352" s="274"/>
    </row>
    <row r="353" spans="1:15" ht="13.95" customHeight="1" x14ac:dyDescent="0.25">
      <c r="A353" s="166"/>
      <c r="B353" s="269"/>
      <c r="C353" s="372"/>
      <c r="D353" s="542" t="s">
        <v>215</v>
      </c>
      <c r="E353" s="856">
        <f ca="1">VLOOKUP($D353,Data!$C$2:$H$384,6,FALSE)</f>
        <v>0</v>
      </c>
      <c r="F353" s="372"/>
      <c r="G353" s="542" t="s">
        <v>215</v>
      </c>
      <c r="H353" s="853">
        <f t="shared" ca="1" si="24"/>
        <v>0</v>
      </c>
      <c r="I353" s="661" t="str">
        <f t="shared" ca="1" si="20"/>
        <v/>
      </c>
      <c r="J353" s="661" t="str">
        <f t="shared" ca="1" si="21"/>
        <v/>
      </c>
      <c r="K353" s="661" t="str">
        <f t="shared" ca="1" si="22"/>
        <v/>
      </c>
      <c r="L353" s="661" t="str">
        <f t="shared" ca="1" si="23"/>
        <v/>
      </c>
      <c r="M353" s="260"/>
      <c r="N353" s="273"/>
      <c r="O353" s="274"/>
    </row>
    <row r="354" spans="1:15" ht="13.95" customHeight="1" x14ac:dyDescent="0.25">
      <c r="A354" s="166"/>
      <c r="B354" s="269"/>
      <c r="C354" s="372"/>
      <c r="D354" s="542" t="s">
        <v>216</v>
      </c>
      <c r="E354" s="856">
        <f ca="1">VLOOKUP($D354,Data!$C$2:$H$384,6,FALSE)</f>
        <v>0</v>
      </c>
      <c r="F354" s="372"/>
      <c r="G354" s="542" t="s">
        <v>216</v>
      </c>
      <c r="H354" s="853">
        <f t="shared" ca="1" si="24"/>
        <v>0</v>
      </c>
      <c r="I354" s="661" t="str">
        <f t="shared" ca="1" si="20"/>
        <v/>
      </c>
      <c r="J354" s="661" t="str">
        <f t="shared" ca="1" si="21"/>
        <v/>
      </c>
      <c r="K354" s="661" t="str">
        <f t="shared" ca="1" si="22"/>
        <v/>
      </c>
      <c r="L354" s="661" t="str">
        <f t="shared" ca="1" si="23"/>
        <v/>
      </c>
      <c r="M354" s="260"/>
      <c r="N354" s="273"/>
      <c r="O354" s="274"/>
    </row>
    <row r="355" spans="1:15" ht="13.95" customHeight="1" x14ac:dyDescent="0.25">
      <c r="A355" s="166"/>
      <c r="B355" s="269"/>
      <c r="C355" s="372"/>
      <c r="D355" s="542" t="s">
        <v>217</v>
      </c>
      <c r="E355" s="856">
        <f ca="1">VLOOKUP($D355,Data!$C$2:$H$384,6,FALSE)</f>
        <v>0</v>
      </c>
      <c r="F355" s="372"/>
      <c r="G355" s="542" t="s">
        <v>217</v>
      </c>
      <c r="H355" s="853">
        <f t="shared" ca="1" si="24"/>
        <v>0</v>
      </c>
      <c r="I355" s="661" t="str">
        <f t="shared" ca="1" si="20"/>
        <v/>
      </c>
      <c r="J355" s="661" t="str">
        <f t="shared" ca="1" si="21"/>
        <v/>
      </c>
      <c r="K355" s="661" t="str">
        <f t="shared" ca="1" si="22"/>
        <v/>
      </c>
      <c r="L355" s="661" t="str">
        <f t="shared" ca="1" si="23"/>
        <v/>
      </c>
      <c r="M355" s="260"/>
      <c r="N355" s="273"/>
      <c r="O355" s="274"/>
    </row>
    <row r="356" spans="1:15" ht="13.95" customHeight="1" x14ac:dyDescent="0.25">
      <c r="A356" s="166"/>
      <c r="B356" s="269"/>
      <c r="C356" s="372"/>
      <c r="D356" s="542" t="s">
        <v>218</v>
      </c>
      <c r="E356" s="856">
        <f ca="1">VLOOKUP($D356,Data!$C$2:$H$384,6,FALSE)</f>
        <v>0</v>
      </c>
      <c r="F356" s="372"/>
      <c r="G356" s="542" t="s">
        <v>218</v>
      </c>
      <c r="H356" s="853">
        <f t="shared" ca="1" si="24"/>
        <v>0</v>
      </c>
      <c r="I356" s="661" t="str">
        <f t="shared" ca="1" si="20"/>
        <v/>
      </c>
      <c r="J356" s="661" t="str">
        <f t="shared" ca="1" si="21"/>
        <v/>
      </c>
      <c r="K356" s="661" t="str">
        <f t="shared" ca="1" si="22"/>
        <v/>
      </c>
      <c r="L356" s="661" t="str">
        <f t="shared" ca="1" si="23"/>
        <v/>
      </c>
      <c r="M356" s="260"/>
      <c r="N356" s="273"/>
      <c r="O356" s="274"/>
    </row>
    <row r="357" spans="1:15" ht="13.95" customHeight="1" x14ac:dyDescent="0.25">
      <c r="A357" s="166"/>
      <c r="B357" s="269"/>
      <c r="C357" s="372"/>
      <c r="D357" s="542" t="s">
        <v>219</v>
      </c>
      <c r="E357" s="856">
        <f ca="1">VLOOKUP($D357,Data!$C$2:$H$384,6,FALSE)</f>
        <v>0</v>
      </c>
      <c r="F357" s="372"/>
      <c r="G357" s="542" t="s">
        <v>219</v>
      </c>
      <c r="H357" s="853">
        <f t="shared" ca="1" si="24"/>
        <v>0</v>
      </c>
      <c r="I357" s="661" t="str">
        <f t="shared" ca="1" si="20"/>
        <v/>
      </c>
      <c r="J357" s="661" t="str">
        <f t="shared" ca="1" si="21"/>
        <v/>
      </c>
      <c r="K357" s="661" t="str">
        <f t="shared" ca="1" si="22"/>
        <v/>
      </c>
      <c r="L357" s="661" t="str">
        <f t="shared" ca="1" si="23"/>
        <v/>
      </c>
      <c r="M357" s="260"/>
      <c r="N357" s="273"/>
      <c r="O357" s="274"/>
    </row>
    <row r="358" spans="1:15" ht="13.95" customHeight="1" x14ac:dyDescent="0.25">
      <c r="A358" s="166"/>
      <c r="B358" s="269"/>
      <c r="C358" s="372"/>
      <c r="D358" s="542" t="s">
        <v>220</v>
      </c>
      <c r="E358" s="856">
        <f ca="1">VLOOKUP($D358,Data!$C$2:$H$384,6,FALSE)</f>
        <v>0</v>
      </c>
      <c r="F358" s="372"/>
      <c r="G358" s="542" t="s">
        <v>220</v>
      </c>
      <c r="H358" s="853">
        <f t="shared" ca="1" si="24"/>
        <v>0</v>
      </c>
      <c r="I358" s="661" t="str">
        <f t="shared" ca="1" si="20"/>
        <v/>
      </c>
      <c r="J358" s="661" t="str">
        <f t="shared" ca="1" si="21"/>
        <v/>
      </c>
      <c r="K358" s="661" t="str">
        <f t="shared" ca="1" si="22"/>
        <v/>
      </c>
      <c r="L358" s="661" t="str">
        <f t="shared" ca="1" si="23"/>
        <v/>
      </c>
      <c r="M358" s="260"/>
      <c r="N358" s="273"/>
      <c r="O358" s="274"/>
    </row>
    <row r="359" spans="1:15" ht="13.95" customHeight="1" x14ac:dyDescent="0.25">
      <c r="A359" s="166"/>
      <c r="B359" s="269"/>
      <c r="C359" s="372"/>
      <c r="D359" s="542" t="s">
        <v>221</v>
      </c>
      <c r="E359" s="856">
        <f ca="1">VLOOKUP($D359,Data!$C$2:$H$384,6,FALSE)</f>
        <v>0</v>
      </c>
      <c r="F359" s="372"/>
      <c r="G359" s="542" t="s">
        <v>221</v>
      </c>
      <c r="H359" s="853">
        <f t="shared" ca="1" si="24"/>
        <v>0</v>
      </c>
      <c r="I359" s="661" t="str">
        <f t="shared" ca="1" si="20"/>
        <v/>
      </c>
      <c r="J359" s="661" t="str">
        <f t="shared" ca="1" si="21"/>
        <v/>
      </c>
      <c r="K359" s="661" t="str">
        <f t="shared" ca="1" si="22"/>
        <v/>
      </c>
      <c r="L359" s="661" t="str">
        <f t="shared" ca="1" si="23"/>
        <v/>
      </c>
      <c r="M359" s="260"/>
      <c r="N359" s="273"/>
      <c r="O359" s="274"/>
    </row>
    <row r="360" spans="1:15" ht="13.95" customHeight="1" x14ac:dyDescent="0.25">
      <c r="A360" s="166"/>
      <c r="B360" s="269"/>
      <c r="C360" s="372"/>
      <c r="D360" s="542" t="s">
        <v>222</v>
      </c>
      <c r="E360" s="856">
        <f ca="1">VLOOKUP($D360,Data!$C$2:$H$384,6,FALSE)</f>
        <v>0</v>
      </c>
      <c r="F360" s="372"/>
      <c r="G360" s="542" t="s">
        <v>222</v>
      </c>
      <c r="H360" s="853">
        <f t="shared" ca="1" si="24"/>
        <v>0</v>
      </c>
      <c r="I360" s="661" t="str">
        <f t="shared" ca="1" si="20"/>
        <v/>
      </c>
      <c r="J360" s="661" t="str">
        <f t="shared" ca="1" si="21"/>
        <v/>
      </c>
      <c r="K360" s="661" t="str">
        <f t="shared" ca="1" si="22"/>
        <v/>
      </c>
      <c r="L360" s="661" t="str">
        <f t="shared" ca="1" si="23"/>
        <v/>
      </c>
      <c r="M360" s="260"/>
      <c r="N360" s="273"/>
      <c r="O360" s="274"/>
    </row>
    <row r="361" spans="1:15" ht="13.95" customHeight="1" x14ac:dyDescent="0.25">
      <c r="A361" s="166"/>
      <c r="B361" s="269"/>
      <c r="C361" s="372"/>
      <c r="D361" s="542" t="s">
        <v>223</v>
      </c>
      <c r="E361" s="856">
        <f ca="1">VLOOKUP($D361,Data!$C$2:$H$384,6,FALSE)</f>
        <v>0</v>
      </c>
      <c r="F361" s="372"/>
      <c r="G361" s="542" t="s">
        <v>223</v>
      </c>
      <c r="H361" s="853">
        <f t="shared" ca="1" si="24"/>
        <v>0</v>
      </c>
      <c r="I361" s="661" t="str">
        <f t="shared" ca="1" si="20"/>
        <v/>
      </c>
      <c r="J361" s="661" t="str">
        <f t="shared" ca="1" si="21"/>
        <v/>
      </c>
      <c r="K361" s="661" t="str">
        <f t="shared" ca="1" si="22"/>
        <v/>
      </c>
      <c r="L361" s="661" t="str">
        <f t="shared" ca="1" si="23"/>
        <v/>
      </c>
      <c r="M361" s="260"/>
      <c r="N361" s="273"/>
      <c r="O361" s="274"/>
    </row>
    <row r="362" spans="1:15" ht="13.95" customHeight="1" x14ac:dyDescent="0.25">
      <c r="A362" s="166"/>
      <c r="B362" s="269"/>
      <c r="C362" s="372"/>
      <c r="D362" s="542" t="s">
        <v>225</v>
      </c>
      <c r="E362" s="856">
        <f ca="1">VLOOKUP($D362,Data!$C$2:$H$384,6,FALSE)</f>
        <v>0</v>
      </c>
      <c r="F362" s="372"/>
      <c r="G362" s="542" t="s">
        <v>225</v>
      </c>
      <c r="H362" s="853">
        <f t="shared" ca="1" si="24"/>
        <v>0</v>
      </c>
      <c r="I362" s="661" t="str">
        <f t="shared" ca="1" si="20"/>
        <v/>
      </c>
      <c r="J362" s="661" t="str">
        <f t="shared" ca="1" si="21"/>
        <v/>
      </c>
      <c r="K362" s="661" t="str">
        <f t="shared" ca="1" si="22"/>
        <v/>
      </c>
      <c r="L362" s="661" t="str">
        <f t="shared" ca="1" si="23"/>
        <v/>
      </c>
      <c r="M362" s="260"/>
      <c r="N362" s="273"/>
      <c r="O362" s="274"/>
    </row>
    <row r="363" spans="1:15" ht="13.95" customHeight="1" x14ac:dyDescent="0.25">
      <c r="A363" s="166"/>
      <c r="B363" s="269"/>
      <c r="C363" s="372"/>
      <c r="D363" s="542" t="s">
        <v>226</v>
      </c>
      <c r="E363" s="856">
        <f ca="1">VLOOKUP($D363,Data!$C$2:$H$384,6,FALSE)</f>
        <v>0</v>
      </c>
      <c r="F363" s="372"/>
      <c r="G363" s="542" t="s">
        <v>226</v>
      </c>
      <c r="H363" s="853">
        <f t="shared" ca="1" si="24"/>
        <v>0</v>
      </c>
      <c r="I363" s="661" t="str">
        <f t="shared" ca="1" si="20"/>
        <v/>
      </c>
      <c r="J363" s="661" t="str">
        <f t="shared" ca="1" si="21"/>
        <v/>
      </c>
      <c r="K363" s="661" t="str">
        <f t="shared" ca="1" si="22"/>
        <v/>
      </c>
      <c r="L363" s="661" t="str">
        <f t="shared" ca="1" si="23"/>
        <v/>
      </c>
      <c r="M363" s="260"/>
      <c r="N363" s="273"/>
      <c r="O363" s="274"/>
    </row>
    <row r="364" spans="1:15" ht="13.95" customHeight="1" x14ac:dyDescent="0.25">
      <c r="A364" s="166"/>
      <c r="B364" s="269"/>
      <c r="C364" s="372"/>
      <c r="D364" s="542" t="s">
        <v>227</v>
      </c>
      <c r="E364" s="856">
        <f ca="1">VLOOKUP($D364,Data!$C$2:$H$384,6,FALSE)</f>
        <v>0</v>
      </c>
      <c r="F364" s="372"/>
      <c r="G364" s="542" t="s">
        <v>227</v>
      </c>
      <c r="H364" s="853">
        <f t="shared" ca="1" si="24"/>
        <v>0</v>
      </c>
      <c r="I364" s="661" t="str">
        <f t="shared" ca="1" si="20"/>
        <v/>
      </c>
      <c r="J364" s="661" t="str">
        <f t="shared" ca="1" si="21"/>
        <v/>
      </c>
      <c r="K364" s="661" t="str">
        <f t="shared" ca="1" si="22"/>
        <v/>
      </c>
      <c r="L364" s="661" t="str">
        <f t="shared" ca="1" si="23"/>
        <v/>
      </c>
      <c r="M364" s="260"/>
      <c r="N364" s="273"/>
      <c r="O364" s="274"/>
    </row>
    <row r="365" spans="1:15" ht="13.95" customHeight="1" x14ac:dyDescent="0.25">
      <c r="A365" s="166"/>
      <c r="B365" s="269"/>
      <c r="C365" s="372"/>
      <c r="D365" s="542" t="s">
        <v>228</v>
      </c>
      <c r="E365" s="856">
        <f ca="1">VLOOKUP($D365,Data!$C$2:$H$384,6,FALSE)</f>
        <v>0</v>
      </c>
      <c r="F365" s="372"/>
      <c r="G365" s="542" t="s">
        <v>228</v>
      </c>
      <c r="H365" s="853">
        <f t="shared" ca="1" si="24"/>
        <v>0</v>
      </c>
      <c r="I365" s="661" t="str">
        <f t="shared" ca="1" si="20"/>
        <v/>
      </c>
      <c r="J365" s="661" t="str">
        <f t="shared" ca="1" si="21"/>
        <v/>
      </c>
      <c r="K365" s="661" t="str">
        <f t="shared" ca="1" si="22"/>
        <v/>
      </c>
      <c r="L365" s="661" t="str">
        <f t="shared" ca="1" si="23"/>
        <v/>
      </c>
      <c r="M365" s="260"/>
      <c r="N365" s="273"/>
      <c r="O365" s="274"/>
    </row>
    <row r="366" spans="1:15" ht="13.95" customHeight="1" x14ac:dyDescent="0.25">
      <c r="A366" s="166"/>
      <c r="B366" s="269"/>
      <c r="C366" s="372"/>
      <c r="D366" s="542" t="s">
        <v>229</v>
      </c>
      <c r="E366" s="856">
        <f ca="1">VLOOKUP($D366,Data!$C$2:$H$384,6,FALSE)</f>
        <v>0</v>
      </c>
      <c r="F366" s="372"/>
      <c r="G366" s="542" t="s">
        <v>229</v>
      </c>
      <c r="H366" s="853">
        <f t="shared" ca="1" si="24"/>
        <v>0</v>
      </c>
      <c r="I366" s="661" t="str">
        <f t="shared" ca="1" si="20"/>
        <v/>
      </c>
      <c r="J366" s="661" t="str">
        <f t="shared" ca="1" si="21"/>
        <v/>
      </c>
      <c r="K366" s="661" t="str">
        <f t="shared" ca="1" si="22"/>
        <v/>
      </c>
      <c r="L366" s="661" t="str">
        <f t="shared" ca="1" si="23"/>
        <v/>
      </c>
      <c r="M366" s="260"/>
      <c r="N366" s="273"/>
      <c r="O366" s="274"/>
    </row>
    <row r="367" spans="1:15" ht="13.95" customHeight="1" x14ac:dyDescent="0.25">
      <c r="A367" s="166"/>
      <c r="B367" s="269"/>
      <c r="C367" s="372"/>
      <c r="D367" s="542" t="s">
        <v>230</v>
      </c>
      <c r="E367" s="856">
        <f ca="1">VLOOKUP($D367,Data!$C$2:$H$384,6,FALSE)</f>
        <v>0</v>
      </c>
      <c r="F367" s="372"/>
      <c r="G367" s="542" t="s">
        <v>230</v>
      </c>
      <c r="H367" s="853">
        <f t="shared" ca="1" si="24"/>
        <v>0</v>
      </c>
      <c r="I367" s="661" t="str">
        <f t="shared" ca="1" si="20"/>
        <v/>
      </c>
      <c r="J367" s="661" t="str">
        <f t="shared" ca="1" si="21"/>
        <v/>
      </c>
      <c r="K367" s="661" t="str">
        <f t="shared" ca="1" si="22"/>
        <v/>
      </c>
      <c r="L367" s="661" t="str">
        <f t="shared" ca="1" si="23"/>
        <v/>
      </c>
      <c r="M367" s="260"/>
      <c r="N367" s="273"/>
      <c r="O367" s="274"/>
    </row>
    <row r="368" spans="1:15" ht="13.95" customHeight="1" x14ac:dyDescent="0.25">
      <c r="A368" s="166"/>
      <c r="B368" s="269"/>
      <c r="C368" s="372"/>
      <c r="D368" s="542" t="s">
        <v>231</v>
      </c>
      <c r="E368" s="856">
        <f ca="1">VLOOKUP($D368,Data!$C$2:$H$384,6,FALSE)</f>
        <v>0</v>
      </c>
      <c r="F368" s="372"/>
      <c r="G368" s="542" t="s">
        <v>231</v>
      </c>
      <c r="H368" s="853">
        <f t="shared" ca="1" si="24"/>
        <v>0</v>
      </c>
      <c r="I368" s="661" t="str">
        <f t="shared" ca="1" si="20"/>
        <v/>
      </c>
      <c r="J368" s="661" t="str">
        <f t="shared" ca="1" si="21"/>
        <v/>
      </c>
      <c r="K368" s="661" t="str">
        <f t="shared" ca="1" si="22"/>
        <v/>
      </c>
      <c r="L368" s="661" t="str">
        <f t="shared" ca="1" si="23"/>
        <v/>
      </c>
      <c r="M368" s="260"/>
      <c r="N368" s="273"/>
      <c r="O368" s="274"/>
    </row>
    <row r="369" spans="1:15" ht="13.95" customHeight="1" x14ac:dyDescent="0.25">
      <c r="A369" s="166"/>
      <c r="B369" s="269"/>
      <c r="C369" s="372"/>
      <c r="D369" s="542" t="s">
        <v>233</v>
      </c>
      <c r="E369" s="856">
        <f ca="1">VLOOKUP($D369,Data!$C$2:$H$384,6,FALSE)</f>
        <v>0</v>
      </c>
      <c r="F369" s="372"/>
      <c r="G369" s="542" t="s">
        <v>233</v>
      </c>
      <c r="H369" s="853">
        <f t="shared" ca="1" si="24"/>
        <v>0</v>
      </c>
      <c r="I369" s="661" t="str">
        <f t="shared" ca="1" si="20"/>
        <v/>
      </c>
      <c r="J369" s="661" t="str">
        <f t="shared" ca="1" si="21"/>
        <v/>
      </c>
      <c r="K369" s="661" t="str">
        <f t="shared" ca="1" si="22"/>
        <v/>
      </c>
      <c r="L369" s="661" t="str">
        <f t="shared" ca="1" si="23"/>
        <v/>
      </c>
      <c r="M369" s="260"/>
      <c r="N369" s="273"/>
      <c r="O369" s="274"/>
    </row>
    <row r="370" spans="1:15" ht="13.95" customHeight="1" x14ac:dyDescent="0.25">
      <c r="A370" s="166"/>
      <c r="B370" s="269"/>
      <c r="C370" s="372"/>
      <c r="D370" s="542" t="s">
        <v>234</v>
      </c>
      <c r="E370" s="856">
        <f ca="1">VLOOKUP($D370,Data!$C$2:$H$384,6,FALSE)</f>
        <v>0</v>
      </c>
      <c r="F370" s="372"/>
      <c r="G370" s="542" t="s">
        <v>234</v>
      </c>
      <c r="H370" s="853">
        <f t="shared" ca="1" si="24"/>
        <v>0</v>
      </c>
      <c r="I370" s="661" t="str">
        <f t="shared" ca="1" si="20"/>
        <v/>
      </c>
      <c r="J370" s="661" t="str">
        <f t="shared" ca="1" si="21"/>
        <v/>
      </c>
      <c r="K370" s="661" t="str">
        <f t="shared" ca="1" si="22"/>
        <v/>
      </c>
      <c r="L370" s="661" t="str">
        <f t="shared" ca="1" si="23"/>
        <v/>
      </c>
      <c r="M370" s="260"/>
      <c r="N370" s="273"/>
      <c r="O370" s="274"/>
    </row>
    <row r="371" spans="1:15" ht="13.95" customHeight="1" x14ac:dyDescent="0.25">
      <c r="A371" s="166"/>
      <c r="B371" s="269"/>
      <c r="C371" s="372"/>
      <c r="D371" s="542" t="s">
        <v>235</v>
      </c>
      <c r="E371" s="856">
        <f ca="1">VLOOKUP($D371,Data!$C$2:$H$384,6,FALSE)</f>
        <v>0</v>
      </c>
      <c r="F371" s="372"/>
      <c r="G371" s="542" t="s">
        <v>235</v>
      </c>
      <c r="H371" s="853">
        <f t="shared" ca="1" si="24"/>
        <v>0</v>
      </c>
      <c r="I371" s="661" t="str">
        <f t="shared" ca="1" si="20"/>
        <v/>
      </c>
      <c r="J371" s="661" t="str">
        <f t="shared" ca="1" si="21"/>
        <v/>
      </c>
      <c r="K371" s="661" t="str">
        <f t="shared" ca="1" si="22"/>
        <v/>
      </c>
      <c r="L371" s="661" t="str">
        <f t="shared" ca="1" si="23"/>
        <v/>
      </c>
      <c r="M371" s="260"/>
      <c r="N371" s="273"/>
      <c r="O371" s="274"/>
    </row>
    <row r="372" spans="1:15" ht="13.95" customHeight="1" x14ac:dyDescent="0.25">
      <c r="A372" s="166"/>
      <c r="B372" s="269"/>
      <c r="C372" s="372"/>
      <c r="D372" s="542" t="s">
        <v>236</v>
      </c>
      <c r="E372" s="856">
        <f ca="1">VLOOKUP($D372,Data!$C$2:$H$384,6,FALSE)</f>
        <v>0</v>
      </c>
      <c r="F372" s="372"/>
      <c r="G372" s="542" t="s">
        <v>236</v>
      </c>
      <c r="H372" s="853">
        <f t="shared" ca="1" si="24"/>
        <v>0</v>
      </c>
      <c r="I372" s="661" t="str">
        <f t="shared" ca="1" si="20"/>
        <v/>
      </c>
      <c r="J372" s="661" t="str">
        <f t="shared" ca="1" si="21"/>
        <v/>
      </c>
      <c r="K372" s="661" t="str">
        <f t="shared" ca="1" si="22"/>
        <v/>
      </c>
      <c r="L372" s="661" t="str">
        <f t="shared" ca="1" si="23"/>
        <v/>
      </c>
      <c r="M372" s="260"/>
      <c r="N372" s="273"/>
      <c r="O372" s="274"/>
    </row>
    <row r="373" spans="1:15" ht="13.95" customHeight="1" x14ac:dyDescent="0.25">
      <c r="A373" s="166"/>
      <c r="B373" s="269"/>
      <c r="C373" s="372"/>
      <c r="D373" s="542" t="s">
        <v>237</v>
      </c>
      <c r="E373" s="856">
        <f ca="1">VLOOKUP($D373,Data!$C$2:$H$384,6,FALSE)</f>
        <v>0</v>
      </c>
      <c r="F373" s="372"/>
      <c r="G373" s="542" t="s">
        <v>237</v>
      </c>
      <c r="H373" s="853">
        <f t="shared" ca="1" si="24"/>
        <v>0</v>
      </c>
      <c r="I373" s="661" t="str">
        <f t="shared" ca="1" si="20"/>
        <v/>
      </c>
      <c r="J373" s="661" t="str">
        <f t="shared" ca="1" si="21"/>
        <v/>
      </c>
      <c r="K373" s="661" t="str">
        <f t="shared" ca="1" si="22"/>
        <v/>
      </c>
      <c r="L373" s="661" t="str">
        <f t="shared" ca="1" si="23"/>
        <v/>
      </c>
      <c r="M373" s="260"/>
      <c r="N373" s="273"/>
      <c r="O373" s="274"/>
    </row>
    <row r="374" spans="1:15" ht="13.95" customHeight="1" x14ac:dyDescent="0.25">
      <c r="A374" s="166"/>
      <c r="B374" s="269"/>
      <c r="C374" s="372"/>
      <c r="D374" s="542" t="s">
        <v>238</v>
      </c>
      <c r="E374" s="856">
        <f ca="1">VLOOKUP($D374,Data!$C$2:$H$384,6,FALSE)</f>
        <v>0</v>
      </c>
      <c r="F374" s="372"/>
      <c r="G374" s="542" t="s">
        <v>238</v>
      </c>
      <c r="H374" s="853">
        <f t="shared" ca="1" si="24"/>
        <v>0</v>
      </c>
      <c r="I374" s="661" t="str">
        <f t="shared" ca="1" si="20"/>
        <v/>
      </c>
      <c r="J374" s="661" t="str">
        <f t="shared" ca="1" si="21"/>
        <v/>
      </c>
      <c r="K374" s="661" t="str">
        <f t="shared" ca="1" si="22"/>
        <v/>
      </c>
      <c r="L374" s="661" t="str">
        <f t="shared" ca="1" si="23"/>
        <v/>
      </c>
      <c r="M374" s="260"/>
      <c r="N374" s="273"/>
      <c r="O374" s="274"/>
    </row>
    <row r="375" spans="1:15" ht="13.95" customHeight="1" x14ac:dyDescent="0.25">
      <c r="A375" s="166"/>
      <c r="B375" s="269"/>
      <c r="C375" s="372"/>
      <c r="D375" s="542" t="s">
        <v>2623</v>
      </c>
      <c r="E375" s="856">
        <f ca="1">VLOOKUP($D375,Data!$C$2:$H$384,6,FALSE)</f>
        <v>0</v>
      </c>
      <c r="F375" s="372"/>
      <c r="G375" s="542" t="s">
        <v>2623</v>
      </c>
      <c r="H375" s="853">
        <f ca="1">INT(LEFT(
VLOOKUP(RIGHT($G375,LEN($G375)-14), INDIRECT("'"&amp;LEFT($G375,14-1)&amp;"'!"&amp;"$D:$K"), 4,FALSE), 1)
)</f>
        <v>0</v>
      </c>
      <c r="I375" s="661" t="str">
        <f ca="1">IF(VLOOKUP(RIGHT($G375,LEN($G375)-14), INDIRECT("'"&amp;LEFT($G375,14-1)&amp;"'!"&amp;"$D:$K"), 5,FALSE) = 0, "",
VLOOKUP(RIGHT($G375,LEN($G375)-14), INDIRECT("'"&amp;LEFT($G375,14-1)&amp;"'!"&amp;"$D:$K"), 5,FALSE) )</f>
        <v/>
      </c>
      <c r="J375" s="661" t="str">
        <f ca="1">IF(VLOOKUP(RIGHT($G375,LEN($G375)-14), INDIRECT("'"&amp;LEFT($G375,14-1)&amp;"'!"&amp;"$D:$K"), 6,FALSE) = 0, "",
VLOOKUP(RIGHT($G375,LEN($G375)-14), INDIRECT("'"&amp;LEFT($G375,14-1)&amp;"'!"&amp;"$D:$K"), 6,FALSE) )</f>
        <v/>
      </c>
      <c r="K375" s="661" t="str">
        <f ca="1">IF(VLOOKUP(RIGHT($G375,LEN($G375)-14), INDIRECT("'"&amp;LEFT($G375,14-1)&amp;"'!"&amp;"$D:$K"), 7,FALSE) = 0, "",
VLOOKUP(RIGHT($G375,LEN($G375)-14), INDIRECT("'"&amp;LEFT($G375,14-1)&amp;"'!"&amp;"$D:$K"), 7,FALSE) )</f>
        <v/>
      </c>
      <c r="L375" s="661" t="str">
        <f ca="1">IF(VLOOKUP(RIGHT($G375,LEN($G375)-14), INDIRECT("'"&amp;LEFT($G375,14-1)&amp;"'!"&amp;"$D:$K"), 8,FALSE) = 0, "",
VLOOKUP(RIGHT($G375,LEN($G375)-14), INDIRECT("'"&amp;LEFT($G375,14-1)&amp;"'!"&amp;"$D:$K"), 8,FALSE) )</f>
        <v/>
      </c>
      <c r="M375" s="260"/>
      <c r="N375" s="273"/>
      <c r="O375" s="274"/>
    </row>
    <row r="376" spans="1:15" ht="13.95" customHeight="1" x14ac:dyDescent="0.25">
      <c r="A376" s="166"/>
      <c r="B376" s="269"/>
      <c r="C376" s="372"/>
      <c r="D376" s="542" t="s">
        <v>2624</v>
      </c>
      <c r="E376" s="856">
        <f ca="1">VLOOKUP($D376,Data!$C$2:$H$384,6,FALSE)</f>
        <v>0</v>
      </c>
      <c r="F376" s="372"/>
      <c r="G376" s="542" t="s">
        <v>2624</v>
      </c>
      <c r="H376" s="853">
        <f t="shared" ref="H376:H399" ca="1" si="25">INT(LEFT(
VLOOKUP(RIGHT($G376,LEN($G376)-14), INDIRECT("'"&amp;LEFT($G376,14-1)&amp;"'!"&amp;"$D:$K"), 4,FALSE), 1)
)</f>
        <v>0</v>
      </c>
      <c r="I376" s="661" t="str">
        <f t="shared" ref="I376:I399" ca="1" si="26">IF(VLOOKUP(RIGHT($G376,LEN($G376)-14), INDIRECT("'"&amp;LEFT($G376,14-1)&amp;"'!"&amp;"$D:$K"), 5,FALSE) = 0, "",
VLOOKUP(RIGHT($G376,LEN($G376)-14), INDIRECT("'"&amp;LEFT($G376,14-1)&amp;"'!"&amp;"$D:$K"), 5,FALSE) )</f>
        <v/>
      </c>
      <c r="J376" s="661" t="str">
        <f t="shared" ref="J376:J399" ca="1" si="27">IF(VLOOKUP(RIGHT($G376,LEN($G376)-14), INDIRECT("'"&amp;LEFT($G376,14-1)&amp;"'!"&amp;"$D:$K"), 6,FALSE) = 0, "",
VLOOKUP(RIGHT($G376,LEN($G376)-14), INDIRECT("'"&amp;LEFT($G376,14-1)&amp;"'!"&amp;"$D:$K"), 6,FALSE) )</f>
        <v/>
      </c>
      <c r="K376" s="661" t="str">
        <f t="shared" ref="K376:K399" ca="1" si="28">IF(VLOOKUP(RIGHT($G376,LEN($G376)-14), INDIRECT("'"&amp;LEFT($G376,14-1)&amp;"'!"&amp;"$D:$K"), 7,FALSE) = 0, "",
VLOOKUP(RIGHT($G376,LEN($G376)-14), INDIRECT("'"&amp;LEFT($G376,14-1)&amp;"'!"&amp;"$D:$K"), 7,FALSE) )</f>
        <v/>
      </c>
      <c r="L376" s="661" t="str">
        <f t="shared" ref="L376:L399" ca="1" si="29">IF(VLOOKUP(RIGHT($G376,LEN($G376)-14), INDIRECT("'"&amp;LEFT($G376,14-1)&amp;"'!"&amp;"$D:$K"), 8,FALSE) = 0, "",
VLOOKUP(RIGHT($G376,LEN($G376)-14), INDIRECT("'"&amp;LEFT($G376,14-1)&amp;"'!"&amp;"$D:$K"), 8,FALSE) )</f>
        <v/>
      </c>
      <c r="M376" s="260"/>
      <c r="N376" s="273"/>
      <c r="O376" s="274"/>
    </row>
    <row r="377" spans="1:15" ht="13.95" customHeight="1" x14ac:dyDescent="0.25">
      <c r="A377" s="166"/>
      <c r="B377" s="269"/>
      <c r="C377" s="372"/>
      <c r="D377" s="542" t="s">
        <v>2625</v>
      </c>
      <c r="E377" s="856">
        <f ca="1">VLOOKUP($D377,Data!$C$2:$H$384,6,FALSE)</f>
        <v>0</v>
      </c>
      <c r="F377" s="372"/>
      <c r="G377" s="542" t="s">
        <v>2625</v>
      </c>
      <c r="H377" s="853">
        <f t="shared" ca="1" si="25"/>
        <v>0</v>
      </c>
      <c r="I377" s="661" t="str">
        <f t="shared" ca="1" si="26"/>
        <v/>
      </c>
      <c r="J377" s="661" t="str">
        <f t="shared" ca="1" si="27"/>
        <v/>
      </c>
      <c r="K377" s="661" t="str">
        <f t="shared" ca="1" si="28"/>
        <v/>
      </c>
      <c r="L377" s="661" t="str">
        <f t="shared" ca="1" si="29"/>
        <v/>
      </c>
      <c r="M377" s="260"/>
      <c r="N377" s="273"/>
      <c r="O377" s="274"/>
    </row>
    <row r="378" spans="1:15" ht="13.95" customHeight="1" x14ac:dyDescent="0.25">
      <c r="A378" s="166"/>
      <c r="B378" s="269"/>
      <c r="C378" s="372"/>
      <c r="D378" s="542" t="s">
        <v>2626</v>
      </c>
      <c r="E378" s="856">
        <f ca="1">VLOOKUP($D378,Data!$C$2:$H$384,6,FALSE)</f>
        <v>0</v>
      </c>
      <c r="F378" s="372"/>
      <c r="G378" s="542" t="s">
        <v>2626</v>
      </c>
      <c r="H378" s="853">
        <f t="shared" ca="1" si="25"/>
        <v>0</v>
      </c>
      <c r="I378" s="661" t="str">
        <f t="shared" ca="1" si="26"/>
        <v/>
      </c>
      <c r="J378" s="661" t="str">
        <f t="shared" ca="1" si="27"/>
        <v/>
      </c>
      <c r="K378" s="661" t="str">
        <f t="shared" ca="1" si="28"/>
        <v/>
      </c>
      <c r="L378" s="661" t="str">
        <f t="shared" ca="1" si="29"/>
        <v/>
      </c>
      <c r="M378" s="260"/>
      <c r="N378" s="273"/>
      <c r="O378" s="274"/>
    </row>
    <row r="379" spans="1:15" ht="13.95" customHeight="1" x14ac:dyDescent="0.25">
      <c r="A379" s="166"/>
      <c r="B379" s="269"/>
      <c r="C379" s="372"/>
      <c r="D379" s="542" t="s">
        <v>2627</v>
      </c>
      <c r="E379" s="856">
        <f ca="1">VLOOKUP($D379,Data!$C$2:$H$384,6,FALSE)</f>
        <v>0</v>
      </c>
      <c r="F379" s="372"/>
      <c r="G379" s="542" t="s">
        <v>2627</v>
      </c>
      <c r="H379" s="853">
        <f t="shared" ca="1" si="25"/>
        <v>0</v>
      </c>
      <c r="I379" s="661" t="str">
        <f t="shared" ca="1" si="26"/>
        <v/>
      </c>
      <c r="J379" s="661" t="str">
        <f t="shared" ca="1" si="27"/>
        <v/>
      </c>
      <c r="K379" s="661" t="str">
        <f t="shared" ca="1" si="28"/>
        <v/>
      </c>
      <c r="L379" s="661" t="str">
        <f t="shared" ca="1" si="29"/>
        <v/>
      </c>
      <c r="M379" s="260"/>
      <c r="N379" s="273"/>
      <c r="O379" s="274"/>
    </row>
    <row r="380" spans="1:15" ht="13.95" customHeight="1" x14ac:dyDescent="0.25">
      <c r="A380" s="166"/>
      <c r="B380" s="269"/>
      <c r="C380" s="372"/>
      <c r="D380" s="542" t="s">
        <v>2628</v>
      </c>
      <c r="E380" s="856">
        <f ca="1">VLOOKUP($D380,Data!$C$2:$H$384,6,FALSE)</f>
        <v>0</v>
      </c>
      <c r="F380" s="372"/>
      <c r="G380" s="542" t="s">
        <v>2628</v>
      </c>
      <c r="H380" s="853">
        <f t="shared" ca="1" si="25"/>
        <v>0</v>
      </c>
      <c r="I380" s="661" t="str">
        <f t="shared" ca="1" si="26"/>
        <v/>
      </c>
      <c r="J380" s="661" t="str">
        <f t="shared" ca="1" si="27"/>
        <v/>
      </c>
      <c r="K380" s="661" t="str">
        <f t="shared" ca="1" si="28"/>
        <v/>
      </c>
      <c r="L380" s="661" t="str">
        <f t="shared" ca="1" si="29"/>
        <v/>
      </c>
      <c r="M380" s="260"/>
      <c r="N380" s="273"/>
      <c r="O380" s="274"/>
    </row>
    <row r="381" spans="1:15" ht="13.95" customHeight="1" x14ac:dyDescent="0.25">
      <c r="A381" s="166"/>
      <c r="B381" s="269"/>
      <c r="C381" s="372"/>
      <c r="D381" s="542" t="s">
        <v>2631</v>
      </c>
      <c r="E381" s="856">
        <f ca="1">VLOOKUP($D381,Data!$C$2:$H$384,6,FALSE)</f>
        <v>0</v>
      </c>
      <c r="F381" s="372"/>
      <c r="G381" s="542" t="s">
        <v>2631</v>
      </c>
      <c r="H381" s="853">
        <f t="shared" ca="1" si="25"/>
        <v>0</v>
      </c>
      <c r="I381" s="661" t="str">
        <f t="shared" ca="1" si="26"/>
        <v/>
      </c>
      <c r="J381" s="661" t="str">
        <f t="shared" ca="1" si="27"/>
        <v/>
      </c>
      <c r="K381" s="661" t="str">
        <f t="shared" ca="1" si="28"/>
        <v/>
      </c>
      <c r="L381" s="661" t="str">
        <f t="shared" ca="1" si="29"/>
        <v/>
      </c>
      <c r="M381" s="260"/>
      <c r="N381" s="273"/>
      <c r="O381" s="274"/>
    </row>
    <row r="382" spans="1:15" ht="13.95" customHeight="1" x14ac:dyDescent="0.25">
      <c r="A382" s="166"/>
      <c r="B382" s="269"/>
      <c r="C382" s="372"/>
      <c r="D382" s="542" t="s">
        <v>2632</v>
      </c>
      <c r="E382" s="856">
        <f ca="1">VLOOKUP($D382,Data!$C$2:$H$384,6,FALSE)</f>
        <v>0</v>
      </c>
      <c r="F382" s="372"/>
      <c r="G382" s="542" t="s">
        <v>2632</v>
      </c>
      <c r="H382" s="853">
        <f t="shared" ca="1" si="25"/>
        <v>0</v>
      </c>
      <c r="I382" s="661" t="str">
        <f t="shared" ca="1" si="26"/>
        <v/>
      </c>
      <c r="J382" s="661" t="str">
        <f t="shared" ca="1" si="27"/>
        <v/>
      </c>
      <c r="K382" s="661" t="str">
        <f t="shared" ca="1" si="28"/>
        <v/>
      </c>
      <c r="L382" s="661" t="str">
        <f t="shared" ca="1" si="29"/>
        <v/>
      </c>
      <c r="M382" s="260"/>
      <c r="N382" s="273"/>
      <c r="O382" s="274"/>
    </row>
    <row r="383" spans="1:15" ht="13.95" customHeight="1" x14ac:dyDescent="0.25">
      <c r="A383" s="166"/>
      <c r="B383" s="269"/>
      <c r="C383" s="372"/>
      <c r="D383" s="542" t="s">
        <v>2633</v>
      </c>
      <c r="E383" s="856">
        <f ca="1">VLOOKUP($D383,Data!$C$2:$H$384,6,FALSE)</f>
        <v>0</v>
      </c>
      <c r="F383" s="372"/>
      <c r="G383" s="542" t="s">
        <v>2633</v>
      </c>
      <c r="H383" s="853">
        <f t="shared" ca="1" si="25"/>
        <v>0</v>
      </c>
      <c r="I383" s="661" t="str">
        <f t="shared" ca="1" si="26"/>
        <v/>
      </c>
      <c r="J383" s="661" t="str">
        <f t="shared" ca="1" si="27"/>
        <v/>
      </c>
      <c r="K383" s="661" t="str">
        <f t="shared" ca="1" si="28"/>
        <v/>
      </c>
      <c r="L383" s="661" t="str">
        <f t="shared" ca="1" si="29"/>
        <v/>
      </c>
      <c r="M383" s="260"/>
      <c r="N383" s="273"/>
      <c r="O383" s="274"/>
    </row>
    <row r="384" spans="1:15" ht="13.95" customHeight="1" x14ac:dyDescent="0.25">
      <c r="A384" s="166"/>
      <c r="B384" s="269"/>
      <c r="C384" s="372"/>
      <c r="D384" s="542" t="s">
        <v>2634</v>
      </c>
      <c r="E384" s="856">
        <f ca="1">VLOOKUP($D384,Data!$C$2:$H$384,6,FALSE)</f>
        <v>0</v>
      </c>
      <c r="F384" s="372"/>
      <c r="G384" s="542" t="s">
        <v>2634</v>
      </c>
      <c r="H384" s="853">
        <f t="shared" ca="1" si="25"/>
        <v>0</v>
      </c>
      <c r="I384" s="661" t="str">
        <f t="shared" ca="1" si="26"/>
        <v/>
      </c>
      <c r="J384" s="661" t="str">
        <f t="shared" ca="1" si="27"/>
        <v/>
      </c>
      <c r="K384" s="661" t="str">
        <f t="shared" ca="1" si="28"/>
        <v/>
      </c>
      <c r="L384" s="661" t="str">
        <f t="shared" ca="1" si="29"/>
        <v/>
      </c>
      <c r="M384" s="260"/>
      <c r="N384" s="273"/>
      <c r="O384" s="274"/>
    </row>
    <row r="385" spans="1:15" ht="13.95" customHeight="1" x14ac:dyDescent="0.25">
      <c r="A385" s="166"/>
      <c r="B385" s="269"/>
      <c r="C385" s="372"/>
      <c r="D385" s="542" t="s">
        <v>2635</v>
      </c>
      <c r="E385" s="856">
        <f ca="1">VLOOKUP($D385,Data!$C$2:$H$384,6,FALSE)</f>
        <v>0</v>
      </c>
      <c r="F385" s="372"/>
      <c r="G385" s="542" t="s">
        <v>2635</v>
      </c>
      <c r="H385" s="853">
        <f t="shared" ca="1" si="25"/>
        <v>0</v>
      </c>
      <c r="I385" s="661" t="str">
        <f t="shared" ca="1" si="26"/>
        <v/>
      </c>
      <c r="J385" s="661" t="str">
        <f t="shared" ca="1" si="27"/>
        <v/>
      </c>
      <c r="K385" s="661" t="str">
        <f t="shared" ca="1" si="28"/>
        <v/>
      </c>
      <c r="L385" s="661" t="str">
        <f t="shared" ca="1" si="29"/>
        <v/>
      </c>
      <c r="M385" s="260"/>
      <c r="N385" s="273"/>
      <c r="O385" s="274"/>
    </row>
    <row r="386" spans="1:15" ht="13.95" customHeight="1" x14ac:dyDescent="0.25">
      <c r="A386" s="166"/>
      <c r="B386" s="269"/>
      <c r="C386" s="372"/>
      <c r="D386" s="542" t="s">
        <v>2636</v>
      </c>
      <c r="E386" s="856">
        <f ca="1">VLOOKUP($D386,Data!$C$2:$H$384,6,FALSE)</f>
        <v>0</v>
      </c>
      <c r="F386" s="372"/>
      <c r="G386" s="542" t="s">
        <v>2636</v>
      </c>
      <c r="H386" s="853">
        <f t="shared" ca="1" si="25"/>
        <v>0</v>
      </c>
      <c r="I386" s="661" t="str">
        <f t="shared" ca="1" si="26"/>
        <v/>
      </c>
      <c r="J386" s="661" t="str">
        <f t="shared" ca="1" si="27"/>
        <v/>
      </c>
      <c r="K386" s="661" t="str">
        <f t="shared" ca="1" si="28"/>
        <v/>
      </c>
      <c r="L386" s="661" t="str">
        <f t="shared" ca="1" si="29"/>
        <v/>
      </c>
      <c r="M386" s="260"/>
      <c r="N386" s="273"/>
      <c r="O386" s="274"/>
    </row>
    <row r="387" spans="1:15" ht="13.95" customHeight="1" x14ac:dyDescent="0.25">
      <c r="A387" s="166"/>
      <c r="B387" s="269"/>
      <c r="C387" s="372"/>
      <c r="D387" s="542" t="s">
        <v>2637</v>
      </c>
      <c r="E387" s="856">
        <f ca="1">VLOOKUP($D387,Data!$C$2:$H$384,6,FALSE)</f>
        <v>0</v>
      </c>
      <c r="F387" s="372"/>
      <c r="G387" s="542" t="s">
        <v>2637</v>
      </c>
      <c r="H387" s="853">
        <f t="shared" ca="1" si="25"/>
        <v>0</v>
      </c>
      <c r="I387" s="661" t="str">
        <f t="shared" ca="1" si="26"/>
        <v/>
      </c>
      <c r="J387" s="661" t="str">
        <f t="shared" ca="1" si="27"/>
        <v/>
      </c>
      <c r="K387" s="661" t="str">
        <f t="shared" ca="1" si="28"/>
        <v/>
      </c>
      <c r="L387" s="661" t="str">
        <f t="shared" ca="1" si="29"/>
        <v/>
      </c>
      <c r="M387" s="260"/>
      <c r="N387" s="273"/>
      <c r="O387" s="274"/>
    </row>
    <row r="388" spans="1:15" ht="13.95" customHeight="1" x14ac:dyDescent="0.25">
      <c r="A388" s="166"/>
      <c r="B388" s="269"/>
      <c r="C388" s="372"/>
      <c r="D388" s="542" t="s">
        <v>2638</v>
      </c>
      <c r="E388" s="856">
        <f ca="1">VLOOKUP($D388,Data!$C$2:$H$384,6,FALSE)</f>
        <v>0</v>
      </c>
      <c r="F388" s="372"/>
      <c r="G388" s="542" t="s">
        <v>2638</v>
      </c>
      <c r="H388" s="853">
        <f t="shared" ca="1" si="25"/>
        <v>0</v>
      </c>
      <c r="I388" s="661" t="str">
        <f t="shared" ca="1" si="26"/>
        <v/>
      </c>
      <c r="J388" s="661" t="str">
        <f t="shared" ca="1" si="27"/>
        <v/>
      </c>
      <c r="K388" s="661" t="str">
        <f t="shared" ca="1" si="28"/>
        <v/>
      </c>
      <c r="L388" s="661" t="str">
        <f t="shared" ca="1" si="29"/>
        <v/>
      </c>
      <c r="M388" s="260"/>
      <c r="N388" s="273"/>
      <c r="O388" s="274"/>
    </row>
    <row r="389" spans="1:15" ht="13.95" customHeight="1" x14ac:dyDescent="0.25">
      <c r="A389" s="166"/>
      <c r="B389" s="269"/>
      <c r="C389" s="372"/>
      <c r="D389" s="542" t="s">
        <v>2639</v>
      </c>
      <c r="E389" s="856">
        <f ca="1">VLOOKUP($D389,Data!$C$2:$H$384,6,FALSE)</f>
        <v>0</v>
      </c>
      <c r="F389" s="372"/>
      <c r="G389" s="542" t="s">
        <v>2639</v>
      </c>
      <c r="H389" s="853">
        <f t="shared" ca="1" si="25"/>
        <v>0</v>
      </c>
      <c r="I389" s="661" t="str">
        <f t="shared" ca="1" si="26"/>
        <v/>
      </c>
      <c r="J389" s="661" t="str">
        <f t="shared" ca="1" si="27"/>
        <v/>
      </c>
      <c r="K389" s="661" t="str">
        <f t="shared" ca="1" si="28"/>
        <v/>
      </c>
      <c r="L389" s="661" t="str">
        <f t="shared" ca="1" si="29"/>
        <v/>
      </c>
      <c r="M389" s="260"/>
      <c r="N389" s="273"/>
      <c r="O389" s="274"/>
    </row>
    <row r="390" spans="1:15" ht="13.95" customHeight="1" x14ac:dyDescent="0.25">
      <c r="A390" s="166"/>
      <c r="B390" s="269"/>
      <c r="C390" s="372"/>
      <c r="D390" s="542" t="s">
        <v>2640</v>
      </c>
      <c r="E390" s="856">
        <f ca="1">VLOOKUP($D390,Data!$C$2:$H$384,6,FALSE)</f>
        <v>0</v>
      </c>
      <c r="F390" s="372"/>
      <c r="G390" s="542" t="s">
        <v>2640</v>
      </c>
      <c r="H390" s="853">
        <f t="shared" ca="1" si="25"/>
        <v>0</v>
      </c>
      <c r="I390" s="661" t="str">
        <f t="shared" ca="1" si="26"/>
        <v/>
      </c>
      <c r="J390" s="661" t="str">
        <f t="shared" ca="1" si="27"/>
        <v/>
      </c>
      <c r="K390" s="661" t="str">
        <f t="shared" ca="1" si="28"/>
        <v/>
      </c>
      <c r="L390" s="661" t="str">
        <f t="shared" ca="1" si="29"/>
        <v/>
      </c>
      <c r="M390" s="260"/>
      <c r="N390" s="273"/>
      <c r="O390" s="274"/>
    </row>
    <row r="391" spans="1:15" ht="13.95" customHeight="1" x14ac:dyDescent="0.25">
      <c r="A391" s="166"/>
      <c r="B391" s="269"/>
      <c r="C391" s="372"/>
      <c r="D391" s="542" t="s">
        <v>2641</v>
      </c>
      <c r="E391" s="856">
        <f ca="1">VLOOKUP($D391,Data!$C$2:$H$384,6,FALSE)</f>
        <v>0</v>
      </c>
      <c r="F391" s="372"/>
      <c r="G391" s="542" t="s">
        <v>2641</v>
      </c>
      <c r="H391" s="853">
        <f t="shared" ca="1" si="25"/>
        <v>0</v>
      </c>
      <c r="I391" s="661" t="str">
        <f t="shared" ca="1" si="26"/>
        <v/>
      </c>
      <c r="J391" s="661" t="str">
        <f t="shared" ca="1" si="27"/>
        <v/>
      </c>
      <c r="K391" s="661" t="str">
        <f t="shared" ca="1" si="28"/>
        <v/>
      </c>
      <c r="L391" s="661" t="str">
        <f t="shared" ca="1" si="29"/>
        <v/>
      </c>
      <c r="M391" s="260"/>
      <c r="N391" s="273"/>
      <c r="O391" s="274"/>
    </row>
    <row r="392" spans="1:15" ht="13.95" customHeight="1" x14ac:dyDescent="0.25">
      <c r="A392" s="166"/>
      <c r="B392" s="269"/>
      <c r="C392" s="372"/>
      <c r="D392" s="542" t="s">
        <v>2642</v>
      </c>
      <c r="E392" s="856">
        <f ca="1">VLOOKUP($D392,Data!$C$2:$H$384,6,FALSE)</f>
        <v>0</v>
      </c>
      <c r="F392" s="372"/>
      <c r="G392" s="542" t="s">
        <v>2642</v>
      </c>
      <c r="H392" s="853">
        <f t="shared" ca="1" si="25"/>
        <v>0</v>
      </c>
      <c r="I392" s="661" t="str">
        <f t="shared" ca="1" si="26"/>
        <v/>
      </c>
      <c r="J392" s="661" t="str">
        <f t="shared" ca="1" si="27"/>
        <v/>
      </c>
      <c r="K392" s="661" t="str">
        <f t="shared" ca="1" si="28"/>
        <v/>
      </c>
      <c r="L392" s="661" t="str">
        <f t="shared" ca="1" si="29"/>
        <v/>
      </c>
      <c r="M392" s="260"/>
      <c r="N392" s="273"/>
      <c r="O392" s="274"/>
    </row>
    <row r="393" spans="1:15" ht="13.95" customHeight="1" x14ac:dyDescent="0.25">
      <c r="A393" s="166"/>
      <c r="B393" s="269"/>
      <c r="C393" s="372"/>
      <c r="D393" s="542" t="s">
        <v>2643</v>
      </c>
      <c r="E393" s="856">
        <f ca="1">VLOOKUP($D393,Data!$C$2:$H$384,6,FALSE)</f>
        <v>0</v>
      </c>
      <c r="F393" s="372"/>
      <c r="G393" s="542" t="s">
        <v>2643</v>
      </c>
      <c r="H393" s="853">
        <f t="shared" ca="1" si="25"/>
        <v>0</v>
      </c>
      <c r="I393" s="661" t="str">
        <f t="shared" ca="1" si="26"/>
        <v/>
      </c>
      <c r="J393" s="661" t="str">
        <f t="shared" ca="1" si="27"/>
        <v/>
      </c>
      <c r="K393" s="661" t="str">
        <f t="shared" ca="1" si="28"/>
        <v/>
      </c>
      <c r="L393" s="661" t="str">
        <f t="shared" ca="1" si="29"/>
        <v/>
      </c>
      <c r="M393" s="260"/>
      <c r="N393" s="273"/>
      <c r="O393" s="274"/>
    </row>
    <row r="394" spans="1:15" ht="13.95" customHeight="1" x14ac:dyDescent="0.25">
      <c r="A394" s="166"/>
      <c r="B394" s="269"/>
      <c r="C394" s="372"/>
      <c r="D394" s="542" t="s">
        <v>2646</v>
      </c>
      <c r="E394" s="856">
        <f ca="1">VLOOKUP($D394,Data!$C$2:$H$384,6,FALSE)</f>
        <v>0</v>
      </c>
      <c r="F394" s="372"/>
      <c r="G394" s="542" t="s">
        <v>2646</v>
      </c>
      <c r="H394" s="853">
        <f t="shared" ca="1" si="25"/>
        <v>0</v>
      </c>
      <c r="I394" s="661" t="str">
        <f t="shared" ca="1" si="26"/>
        <v/>
      </c>
      <c r="J394" s="661" t="str">
        <f t="shared" ca="1" si="27"/>
        <v/>
      </c>
      <c r="K394" s="661" t="str">
        <f t="shared" ca="1" si="28"/>
        <v/>
      </c>
      <c r="L394" s="661" t="str">
        <f t="shared" ca="1" si="29"/>
        <v/>
      </c>
      <c r="M394" s="260"/>
      <c r="N394" s="273"/>
      <c r="O394" s="274"/>
    </row>
    <row r="395" spans="1:15" ht="13.95" customHeight="1" x14ac:dyDescent="0.25">
      <c r="A395" s="166"/>
      <c r="B395" s="269"/>
      <c r="C395" s="372"/>
      <c r="D395" s="542" t="s">
        <v>2647</v>
      </c>
      <c r="E395" s="856">
        <f ca="1">VLOOKUP($D395,Data!$C$2:$H$384,6,FALSE)</f>
        <v>0</v>
      </c>
      <c r="F395" s="372"/>
      <c r="G395" s="542" t="s">
        <v>2647</v>
      </c>
      <c r="H395" s="853">
        <f t="shared" ca="1" si="25"/>
        <v>0</v>
      </c>
      <c r="I395" s="661" t="str">
        <f t="shared" ca="1" si="26"/>
        <v/>
      </c>
      <c r="J395" s="661" t="str">
        <f t="shared" ca="1" si="27"/>
        <v/>
      </c>
      <c r="K395" s="661" t="str">
        <f t="shared" ca="1" si="28"/>
        <v/>
      </c>
      <c r="L395" s="661" t="str">
        <f t="shared" ca="1" si="29"/>
        <v/>
      </c>
      <c r="M395" s="260"/>
      <c r="N395" s="273"/>
      <c r="O395" s="274"/>
    </row>
    <row r="396" spans="1:15" ht="13.95" customHeight="1" x14ac:dyDescent="0.25">
      <c r="A396" s="166"/>
      <c r="B396" s="269"/>
      <c r="C396" s="372"/>
      <c r="D396" s="542" t="s">
        <v>2648</v>
      </c>
      <c r="E396" s="856">
        <f ca="1">VLOOKUP($D396,Data!$C$2:$H$384,6,FALSE)</f>
        <v>0</v>
      </c>
      <c r="F396" s="372"/>
      <c r="G396" s="542" t="s">
        <v>2648</v>
      </c>
      <c r="H396" s="853">
        <f t="shared" ca="1" si="25"/>
        <v>0</v>
      </c>
      <c r="I396" s="661" t="str">
        <f t="shared" ca="1" si="26"/>
        <v/>
      </c>
      <c r="J396" s="661" t="str">
        <f t="shared" ca="1" si="27"/>
        <v/>
      </c>
      <c r="K396" s="661" t="str">
        <f t="shared" ca="1" si="28"/>
        <v/>
      </c>
      <c r="L396" s="661" t="str">
        <f t="shared" ca="1" si="29"/>
        <v/>
      </c>
      <c r="M396" s="260"/>
      <c r="N396" s="273"/>
      <c r="O396" s="274"/>
    </row>
    <row r="397" spans="1:15" ht="13.95" customHeight="1" x14ac:dyDescent="0.25">
      <c r="A397" s="166"/>
      <c r="B397" s="269"/>
      <c r="C397" s="372"/>
      <c r="D397" s="542" t="s">
        <v>2649</v>
      </c>
      <c r="E397" s="856">
        <f ca="1">VLOOKUP($D397,Data!$C$2:$H$384,6,FALSE)</f>
        <v>0</v>
      </c>
      <c r="F397" s="372"/>
      <c r="G397" s="542" t="s">
        <v>2649</v>
      </c>
      <c r="H397" s="853">
        <f t="shared" ca="1" si="25"/>
        <v>0</v>
      </c>
      <c r="I397" s="661" t="str">
        <f t="shared" ca="1" si="26"/>
        <v/>
      </c>
      <c r="J397" s="661" t="str">
        <f t="shared" ca="1" si="27"/>
        <v/>
      </c>
      <c r="K397" s="661" t="str">
        <f t="shared" ca="1" si="28"/>
        <v/>
      </c>
      <c r="L397" s="661" t="str">
        <f t="shared" ca="1" si="29"/>
        <v/>
      </c>
      <c r="M397" s="260"/>
      <c r="N397" s="273"/>
      <c r="O397" s="274"/>
    </row>
    <row r="398" spans="1:15" ht="13.95" customHeight="1" x14ac:dyDescent="0.25">
      <c r="A398" s="166"/>
      <c r="B398" s="269"/>
      <c r="C398" s="372"/>
      <c r="D398" s="542" t="s">
        <v>2650</v>
      </c>
      <c r="E398" s="856">
        <f ca="1">VLOOKUP($D398,Data!$C$2:$H$384,6,FALSE)</f>
        <v>0</v>
      </c>
      <c r="F398" s="372"/>
      <c r="G398" s="542" t="s">
        <v>2650</v>
      </c>
      <c r="H398" s="853">
        <f t="shared" ca="1" si="25"/>
        <v>0</v>
      </c>
      <c r="I398" s="661" t="str">
        <f t="shared" ca="1" si="26"/>
        <v/>
      </c>
      <c r="J398" s="661" t="str">
        <f t="shared" ca="1" si="27"/>
        <v/>
      </c>
      <c r="K398" s="661" t="str">
        <f t="shared" ca="1" si="28"/>
        <v/>
      </c>
      <c r="L398" s="661" t="str">
        <f t="shared" ca="1" si="29"/>
        <v/>
      </c>
      <c r="M398" s="260"/>
      <c r="N398" s="273"/>
      <c r="O398" s="274"/>
    </row>
    <row r="399" spans="1:15" ht="13.95" customHeight="1" x14ac:dyDescent="0.25">
      <c r="A399" s="166"/>
      <c r="B399" s="269"/>
      <c r="C399" s="372"/>
      <c r="D399" s="542" t="s">
        <v>2651</v>
      </c>
      <c r="E399" s="856">
        <f ca="1">VLOOKUP($D399,Data!$C$2:$H$384,6,FALSE)</f>
        <v>0</v>
      </c>
      <c r="F399" s="372"/>
      <c r="G399" s="542" t="s">
        <v>2651</v>
      </c>
      <c r="H399" s="853">
        <f t="shared" ca="1" si="25"/>
        <v>0</v>
      </c>
      <c r="I399" s="661" t="str">
        <f t="shared" ca="1" si="26"/>
        <v/>
      </c>
      <c r="J399" s="661" t="str">
        <f t="shared" ca="1" si="27"/>
        <v/>
      </c>
      <c r="K399" s="661" t="str">
        <f t="shared" ca="1" si="28"/>
        <v/>
      </c>
      <c r="L399" s="661" t="str">
        <f t="shared" ca="1" si="29"/>
        <v/>
      </c>
      <c r="M399" s="260"/>
      <c r="N399" s="273"/>
      <c r="O399" s="274"/>
    </row>
    <row r="400" spans="1:15" ht="13.95" customHeight="1" x14ac:dyDescent="0.25">
      <c r="A400" s="166"/>
      <c r="B400" s="269"/>
      <c r="C400" s="372"/>
      <c r="D400" s="542" t="s">
        <v>175</v>
      </c>
      <c r="E400" s="856">
        <f ca="1">VLOOKUP($D400,Data!$C$2:$H$384,6,FALSE)</f>
        <v>0</v>
      </c>
      <c r="F400" s="372"/>
      <c r="G400" s="542" t="s">
        <v>175</v>
      </c>
      <c r="H400" s="853">
        <f t="shared" ref="H400:H461" ca="1" si="30">INT(LEFT(
VLOOKUP(RIGHT($G400,LEN($G400)-FIND("-",$G400)), INDIRECT("'"&amp;LEFT($G400,FIND("-",$G400)-1)&amp;"'!"&amp;"$D:$K"), 4,FALSE), 1)
)</f>
        <v>0</v>
      </c>
      <c r="I400" s="661" t="str">
        <f t="shared" ref="I400:I461" ca="1" si="31">IF(VLOOKUP(RIGHT($G400,LEN($G400)-FIND("-",$G400)), INDIRECT("'"&amp;LEFT($G400,FIND("-",$G400)-1)&amp;"'!"&amp;"$D:$K"), 5,FALSE) = 0, "",
VLOOKUP(RIGHT($G400,LEN($G400)-FIND("-",$G400)), INDIRECT("'"&amp;LEFT($G400,FIND("-",$G400)-1)&amp;"'!"&amp;"$D:$K"), 5,FALSE) )</f>
        <v/>
      </c>
      <c r="J400" s="661" t="str">
        <f t="shared" ref="J400:J461" ca="1" si="32">IF(VLOOKUP(RIGHT($G400,LEN($G400)-FIND("-",$G400)), INDIRECT("'"&amp;LEFT($G400,FIND("-",$G400)-1)&amp;"'!"&amp;"$D:$K"), 6,FALSE) = 0, "",
VLOOKUP(RIGHT($G400,LEN($G400)-FIND("-",$G400)), INDIRECT("'"&amp;LEFT($G400,FIND("-",$G400)-1)&amp;"'!"&amp;"$D:$K"), 6,FALSE) )</f>
        <v/>
      </c>
      <c r="K400" s="661" t="str">
        <f t="shared" ref="K400:K461" ca="1" si="33">IF(VLOOKUP(RIGHT($G400,LEN($G400)-FIND("-",$G400)), INDIRECT("'"&amp;LEFT($G400,FIND("-",$G400)-1)&amp;"'!"&amp;"$D:$K"), 7,FALSE) = 0, "",
VLOOKUP(RIGHT($G400,LEN($G400)-FIND("-",$G400)), INDIRECT("'"&amp;LEFT($G400,FIND("-",$G400)-1)&amp;"'!"&amp;"$D:$K"), 7,FALSE) )</f>
        <v/>
      </c>
      <c r="L400" s="661" t="str">
        <f t="shared" ref="L400:L461" ca="1" si="34">IF(VLOOKUP(RIGHT($G400,LEN($G400)-FIND("-",$G400)), INDIRECT("'"&amp;LEFT($G400,FIND("-",$G400)-1)&amp;"'!"&amp;"$D:$K"), 8,FALSE) = 0, "",
VLOOKUP(RIGHT($G400,LEN($G400)-FIND("-",$G400)), INDIRECT("'"&amp;LEFT($G400,FIND("-",$G400)-1)&amp;"'!"&amp;"$D:$K"), 8,FALSE) )</f>
        <v/>
      </c>
      <c r="M400" s="260"/>
      <c r="N400" s="273"/>
      <c r="O400" s="274"/>
    </row>
    <row r="401" spans="1:15" ht="13.95" customHeight="1" x14ac:dyDescent="0.25">
      <c r="A401" s="166"/>
      <c r="B401" s="269"/>
      <c r="C401" s="372"/>
      <c r="D401" s="542" t="s">
        <v>176</v>
      </c>
      <c r="E401" s="856">
        <f ca="1">VLOOKUP($D401,Data!$C$2:$H$384,6,FALSE)</f>
        <v>0</v>
      </c>
      <c r="F401" s="372"/>
      <c r="G401" s="542" t="s">
        <v>176</v>
      </c>
      <c r="H401" s="853">
        <f t="shared" ca="1" si="30"/>
        <v>0</v>
      </c>
      <c r="I401" s="661" t="str">
        <f t="shared" ca="1" si="31"/>
        <v/>
      </c>
      <c r="J401" s="661" t="str">
        <f t="shared" ca="1" si="32"/>
        <v/>
      </c>
      <c r="K401" s="661" t="str">
        <f t="shared" ca="1" si="33"/>
        <v/>
      </c>
      <c r="L401" s="661" t="str">
        <f t="shared" ca="1" si="34"/>
        <v/>
      </c>
      <c r="M401" s="260"/>
      <c r="N401" s="273"/>
      <c r="O401" s="274"/>
    </row>
    <row r="402" spans="1:15" ht="13.95" customHeight="1" x14ac:dyDescent="0.25">
      <c r="A402" s="166"/>
      <c r="B402" s="269"/>
      <c r="C402" s="372"/>
      <c r="D402" s="542" t="s">
        <v>177</v>
      </c>
      <c r="E402" s="856">
        <f ca="1">VLOOKUP($D402,Data!$C$2:$H$384,6,FALSE)</f>
        <v>0</v>
      </c>
      <c r="F402" s="372"/>
      <c r="G402" s="542" t="s">
        <v>177</v>
      </c>
      <c r="H402" s="853">
        <f t="shared" ca="1" si="30"/>
        <v>0</v>
      </c>
      <c r="I402" s="661" t="str">
        <f t="shared" ca="1" si="31"/>
        <v/>
      </c>
      <c r="J402" s="661" t="str">
        <f t="shared" ca="1" si="32"/>
        <v/>
      </c>
      <c r="K402" s="661" t="str">
        <f t="shared" ca="1" si="33"/>
        <v/>
      </c>
      <c r="L402" s="661" t="str">
        <f t="shared" ca="1" si="34"/>
        <v/>
      </c>
      <c r="M402" s="260"/>
      <c r="N402" s="273"/>
      <c r="O402" s="274"/>
    </row>
    <row r="403" spans="1:15" ht="13.95" customHeight="1" x14ac:dyDescent="0.25">
      <c r="A403" s="166"/>
      <c r="B403" s="269"/>
      <c r="C403" s="372"/>
      <c r="D403" s="542" t="s">
        <v>178</v>
      </c>
      <c r="E403" s="856">
        <f ca="1">VLOOKUP($D403,Data!$C$2:$H$384,6,FALSE)</f>
        <v>0</v>
      </c>
      <c r="F403" s="372"/>
      <c r="G403" s="542" t="s">
        <v>178</v>
      </c>
      <c r="H403" s="853">
        <f t="shared" ca="1" si="30"/>
        <v>0</v>
      </c>
      <c r="I403" s="661" t="str">
        <f t="shared" ca="1" si="31"/>
        <v/>
      </c>
      <c r="J403" s="661" t="str">
        <f t="shared" ca="1" si="32"/>
        <v/>
      </c>
      <c r="K403" s="661" t="str">
        <f t="shared" ca="1" si="33"/>
        <v/>
      </c>
      <c r="L403" s="661" t="str">
        <f t="shared" ca="1" si="34"/>
        <v/>
      </c>
      <c r="M403" s="260"/>
      <c r="N403" s="273"/>
      <c r="O403" s="274"/>
    </row>
    <row r="404" spans="1:15" ht="13.95" customHeight="1" x14ac:dyDescent="0.25">
      <c r="A404" s="166"/>
      <c r="B404" s="269"/>
      <c r="C404" s="372"/>
      <c r="D404" s="542" t="s">
        <v>179</v>
      </c>
      <c r="E404" s="856">
        <f ca="1">VLOOKUP($D404,Data!$C$2:$H$384,6,FALSE)</f>
        <v>0</v>
      </c>
      <c r="F404" s="372"/>
      <c r="G404" s="542" t="s">
        <v>179</v>
      </c>
      <c r="H404" s="853">
        <f t="shared" ca="1" si="30"/>
        <v>0</v>
      </c>
      <c r="I404" s="661" t="str">
        <f t="shared" ca="1" si="31"/>
        <v/>
      </c>
      <c r="J404" s="661" t="str">
        <f t="shared" ca="1" si="32"/>
        <v/>
      </c>
      <c r="K404" s="661" t="str">
        <f t="shared" ca="1" si="33"/>
        <v/>
      </c>
      <c r="L404" s="661" t="str">
        <f t="shared" ca="1" si="34"/>
        <v/>
      </c>
      <c r="M404" s="260"/>
      <c r="N404" s="273"/>
      <c r="O404" s="274"/>
    </row>
    <row r="405" spans="1:15" ht="13.95" customHeight="1" x14ac:dyDescent="0.25">
      <c r="A405" s="166"/>
      <c r="B405" s="269"/>
      <c r="C405" s="372"/>
      <c r="D405" s="542" t="s">
        <v>180</v>
      </c>
      <c r="E405" s="856">
        <f ca="1">VLOOKUP($D405,Data!$C$2:$H$384,6,FALSE)</f>
        <v>0</v>
      </c>
      <c r="F405" s="372"/>
      <c r="G405" s="542" t="s">
        <v>180</v>
      </c>
      <c r="H405" s="853">
        <f t="shared" ca="1" si="30"/>
        <v>0</v>
      </c>
      <c r="I405" s="661" t="str">
        <f t="shared" ca="1" si="31"/>
        <v/>
      </c>
      <c r="J405" s="661" t="str">
        <f t="shared" ca="1" si="32"/>
        <v/>
      </c>
      <c r="K405" s="661" t="str">
        <f t="shared" ca="1" si="33"/>
        <v/>
      </c>
      <c r="L405" s="661" t="str">
        <f t="shared" ca="1" si="34"/>
        <v/>
      </c>
      <c r="M405" s="260"/>
      <c r="N405" s="273"/>
      <c r="O405" s="274"/>
    </row>
    <row r="406" spans="1:15" ht="13.95" customHeight="1" x14ac:dyDescent="0.25">
      <c r="A406" s="166"/>
      <c r="B406" s="269"/>
      <c r="C406" s="372"/>
      <c r="D406" s="542" t="s">
        <v>181</v>
      </c>
      <c r="E406" s="856">
        <f ca="1">VLOOKUP($D406,Data!$C$2:$H$384,6,FALSE)</f>
        <v>0</v>
      </c>
      <c r="F406" s="372"/>
      <c r="G406" s="542" t="s">
        <v>181</v>
      </c>
      <c r="H406" s="853">
        <f t="shared" ca="1" si="30"/>
        <v>0</v>
      </c>
      <c r="I406" s="661" t="str">
        <f t="shared" ca="1" si="31"/>
        <v/>
      </c>
      <c r="J406" s="661" t="str">
        <f t="shared" ca="1" si="32"/>
        <v/>
      </c>
      <c r="K406" s="661" t="str">
        <f t="shared" ca="1" si="33"/>
        <v/>
      </c>
      <c r="L406" s="661" t="str">
        <f t="shared" ca="1" si="34"/>
        <v/>
      </c>
      <c r="M406" s="260"/>
      <c r="N406" s="273"/>
      <c r="O406" s="274"/>
    </row>
    <row r="407" spans="1:15" ht="13.95" customHeight="1" x14ac:dyDescent="0.25">
      <c r="A407" s="166"/>
      <c r="B407" s="269"/>
      <c r="C407" s="372"/>
      <c r="D407" s="542" t="s">
        <v>182</v>
      </c>
      <c r="E407" s="856">
        <f ca="1">VLOOKUP($D407,Data!$C$2:$H$384,6,FALSE)</f>
        <v>0</v>
      </c>
      <c r="F407" s="372"/>
      <c r="G407" s="542" t="s">
        <v>182</v>
      </c>
      <c r="H407" s="853">
        <f t="shared" ca="1" si="30"/>
        <v>0</v>
      </c>
      <c r="I407" s="661" t="str">
        <f t="shared" ca="1" si="31"/>
        <v/>
      </c>
      <c r="J407" s="661" t="str">
        <f t="shared" ca="1" si="32"/>
        <v/>
      </c>
      <c r="K407" s="661" t="str">
        <f t="shared" ca="1" si="33"/>
        <v/>
      </c>
      <c r="L407" s="661" t="str">
        <f t="shared" ca="1" si="34"/>
        <v/>
      </c>
      <c r="M407" s="260"/>
      <c r="N407" s="273"/>
      <c r="O407" s="274"/>
    </row>
    <row r="408" spans="1:15" ht="13.95" customHeight="1" x14ac:dyDescent="0.25">
      <c r="A408" s="166"/>
      <c r="B408" s="269"/>
      <c r="C408" s="372"/>
      <c r="D408" s="542" t="s">
        <v>183</v>
      </c>
      <c r="E408" s="856">
        <f ca="1">VLOOKUP($D408,Data!$C$2:$H$384,6,FALSE)</f>
        <v>0</v>
      </c>
      <c r="F408" s="372"/>
      <c r="G408" s="542" t="s">
        <v>183</v>
      </c>
      <c r="H408" s="853">
        <f t="shared" ca="1" si="30"/>
        <v>0</v>
      </c>
      <c r="I408" s="661" t="str">
        <f t="shared" ca="1" si="31"/>
        <v/>
      </c>
      <c r="J408" s="661" t="str">
        <f t="shared" ca="1" si="32"/>
        <v/>
      </c>
      <c r="K408" s="661" t="str">
        <f t="shared" ca="1" si="33"/>
        <v/>
      </c>
      <c r="L408" s="661" t="str">
        <f t="shared" ca="1" si="34"/>
        <v/>
      </c>
      <c r="M408" s="260"/>
      <c r="N408" s="273"/>
      <c r="O408" s="274"/>
    </row>
    <row r="409" spans="1:15" ht="13.95" customHeight="1" x14ac:dyDescent="0.25">
      <c r="A409" s="166"/>
      <c r="B409" s="269"/>
      <c r="C409" s="372"/>
      <c r="D409" s="542" t="s">
        <v>184</v>
      </c>
      <c r="E409" s="856">
        <f ca="1">VLOOKUP($D409,Data!$C$2:$H$384,6,FALSE)</f>
        <v>0</v>
      </c>
      <c r="F409" s="372"/>
      <c r="G409" s="542" t="s">
        <v>184</v>
      </c>
      <c r="H409" s="853">
        <f t="shared" ca="1" si="30"/>
        <v>0</v>
      </c>
      <c r="I409" s="661" t="str">
        <f t="shared" ca="1" si="31"/>
        <v/>
      </c>
      <c r="J409" s="661" t="str">
        <f t="shared" ca="1" si="32"/>
        <v/>
      </c>
      <c r="K409" s="661" t="str">
        <f t="shared" ca="1" si="33"/>
        <v/>
      </c>
      <c r="L409" s="661" t="str">
        <f t="shared" ca="1" si="34"/>
        <v/>
      </c>
      <c r="M409" s="260"/>
      <c r="N409" s="273"/>
      <c r="O409" s="274"/>
    </row>
    <row r="410" spans="1:15" ht="13.95" customHeight="1" x14ac:dyDescent="0.25">
      <c r="A410" s="166"/>
      <c r="B410" s="269"/>
      <c r="C410" s="372"/>
      <c r="D410" s="542" t="s">
        <v>185</v>
      </c>
      <c r="E410" s="856">
        <f ca="1">VLOOKUP($D410,Data!$C$2:$H$384,6,FALSE)</f>
        <v>0</v>
      </c>
      <c r="F410" s="372"/>
      <c r="G410" s="542" t="s">
        <v>185</v>
      </c>
      <c r="H410" s="853">
        <f t="shared" ca="1" si="30"/>
        <v>0</v>
      </c>
      <c r="I410" s="661" t="str">
        <f t="shared" ca="1" si="31"/>
        <v/>
      </c>
      <c r="J410" s="661" t="str">
        <f t="shared" ca="1" si="32"/>
        <v/>
      </c>
      <c r="K410" s="661" t="str">
        <f t="shared" ca="1" si="33"/>
        <v/>
      </c>
      <c r="L410" s="661" t="str">
        <f t="shared" ca="1" si="34"/>
        <v/>
      </c>
      <c r="M410" s="260"/>
      <c r="N410" s="273"/>
      <c r="O410" s="274"/>
    </row>
    <row r="411" spans="1:15" ht="13.95" customHeight="1" x14ac:dyDescent="0.25">
      <c r="A411" s="166"/>
      <c r="B411" s="269"/>
      <c r="C411" s="372"/>
      <c r="D411" s="542" t="s">
        <v>187</v>
      </c>
      <c r="E411" s="856">
        <f ca="1">VLOOKUP($D411,Data!$C$2:$H$384,6,FALSE)</f>
        <v>0</v>
      </c>
      <c r="F411" s="372"/>
      <c r="G411" s="542" t="s">
        <v>187</v>
      </c>
      <c r="H411" s="853">
        <f t="shared" ca="1" si="30"/>
        <v>0</v>
      </c>
      <c r="I411" s="661" t="str">
        <f t="shared" ca="1" si="31"/>
        <v/>
      </c>
      <c r="J411" s="661" t="str">
        <f t="shared" ca="1" si="32"/>
        <v/>
      </c>
      <c r="K411" s="661" t="str">
        <f t="shared" ca="1" si="33"/>
        <v/>
      </c>
      <c r="L411" s="661" t="str">
        <f t="shared" ca="1" si="34"/>
        <v/>
      </c>
      <c r="M411" s="260"/>
      <c r="N411" s="273"/>
      <c r="O411" s="274"/>
    </row>
    <row r="412" spans="1:15" ht="13.95" customHeight="1" x14ac:dyDescent="0.25">
      <c r="A412" s="166"/>
      <c r="B412" s="269"/>
      <c r="C412" s="372"/>
      <c r="D412" s="542" t="s">
        <v>2652</v>
      </c>
      <c r="E412" s="856">
        <f ca="1">VLOOKUP($D412,Data!$C$2:$H$384,6,FALSE)</f>
        <v>0</v>
      </c>
      <c r="F412" s="372"/>
      <c r="G412" s="542" t="s">
        <v>2652</v>
      </c>
      <c r="H412" s="853">
        <f t="shared" ca="1" si="30"/>
        <v>0</v>
      </c>
      <c r="I412" s="661" t="str">
        <f t="shared" ca="1" si="31"/>
        <v/>
      </c>
      <c r="J412" s="661" t="str">
        <f t="shared" ca="1" si="32"/>
        <v/>
      </c>
      <c r="K412" s="661" t="str">
        <f t="shared" ca="1" si="33"/>
        <v/>
      </c>
      <c r="L412" s="661" t="str">
        <f t="shared" ca="1" si="34"/>
        <v/>
      </c>
      <c r="M412" s="260"/>
      <c r="N412" s="273"/>
      <c r="O412" s="274"/>
    </row>
    <row r="413" spans="1:15" ht="13.95" customHeight="1" x14ac:dyDescent="0.25">
      <c r="A413" s="166"/>
      <c r="B413" s="269"/>
      <c r="C413" s="372"/>
      <c r="D413" s="542" t="s">
        <v>189</v>
      </c>
      <c r="E413" s="856">
        <f ca="1">VLOOKUP($D413,Data!$C$2:$H$384,6,FALSE)</f>
        <v>0</v>
      </c>
      <c r="F413" s="372"/>
      <c r="G413" s="542" t="s">
        <v>189</v>
      </c>
      <c r="H413" s="853">
        <f t="shared" ca="1" si="30"/>
        <v>0</v>
      </c>
      <c r="I413" s="661" t="str">
        <f t="shared" ca="1" si="31"/>
        <v/>
      </c>
      <c r="J413" s="661" t="str">
        <f t="shared" ca="1" si="32"/>
        <v/>
      </c>
      <c r="K413" s="661" t="str">
        <f t="shared" ca="1" si="33"/>
        <v/>
      </c>
      <c r="L413" s="661" t="str">
        <f t="shared" ca="1" si="34"/>
        <v/>
      </c>
      <c r="M413" s="260"/>
      <c r="N413" s="273"/>
      <c r="O413" s="274"/>
    </row>
    <row r="414" spans="1:15" ht="13.95" customHeight="1" x14ac:dyDescent="0.25">
      <c r="A414" s="166"/>
      <c r="B414" s="269"/>
      <c r="C414" s="372"/>
      <c r="D414" s="542" t="s">
        <v>190</v>
      </c>
      <c r="E414" s="856">
        <f ca="1">VLOOKUP($D414,Data!$C$2:$H$384,6,FALSE)</f>
        <v>0</v>
      </c>
      <c r="F414" s="372"/>
      <c r="G414" s="542" t="s">
        <v>190</v>
      </c>
      <c r="H414" s="853">
        <f t="shared" ca="1" si="30"/>
        <v>0</v>
      </c>
      <c r="I414" s="661" t="str">
        <f t="shared" ca="1" si="31"/>
        <v/>
      </c>
      <c r="J414" s="661" t="str">
        <f t="shared" ca="1" si="32"/>
        <v/>
      </c>
      <c r="K414" s="661" t="str">
        <f t="shared" ca="1" si="33"/>
        <v/>
      </c>
      <c r="L414" s="661" t="str">
        <f t="shared" ca="1" si="34"/>
        <v/>
      </c>
      <c r="M414" s="260"/>
      <c r="N414" s="273"/>
      <c r="O414" s="274"/>
    </row>
    <row r="415" spans="1:15" ht="13.95" customHeight="1" x14ac:dyDescent="0.25">
      <c r="A415" s="166"/>
      <c r="B415" s="269"/>
      <c r="C415" s="372"/>
      <c r="D415" s="542" t="s">
        <v>191</v>
      </c>
      <c r="E415" s="856">
        <f ca="1">VLOOKUP($D415,Data!$C$2:$H$384,6,FALSE)</f>
        <v>0</v>
      </c>
      <c r="F415" s="372"/>
      <c r="G415" s="542" t="s">
        <v>191</v>
      </c>
      <c r="H415" s="853">
        <f t="shared" ca="1" si="30"/>
        <v>0</v>
      </c>
      <c r="I415" s="661" t="str">
        <f t="shared" ca="1" si="31"/>
        <v/>
      </c>
      <c r="J415" s="661" t="str">
        <f t="shared" ca="1" si="32"/>
        <v/>
      </c>
      <c r="K415" s="661" t="str">
        <f t="shared" ca="1" si="33"/>
        <v/>
      </c>
      <c r="L415" s="661" t="str">
        <f t="shared" ca="1" si="34"/>
        <v/>
      </c>
      <c r="M415" s="260"/>
      <c r="N415" s="273"/>
      <c r="O415" s="274"/>
    </row>
    <row r="416" spans="1:15" ht="13.95" customHeight="1" x14ac:dyDescent="0.25">
      <c r="A416" s="166"/>
      <c r="B416" s="269"/>
      <c r="C416" s="372"/>
      <c r="D416" s="542" t="s">
        <v>192</v>
      </c>
      <c r="E416" s="856">
        <f ca="1">VLOOKUP($D416,Data!$C$2:$H$384,6,FALSE)</f>
        <v>0</v>
      </c>
      <c r="F416" s="372"/>
      <c r="G416" s="542" t="s">
        <v>192</v>
      </c>
      <c r="H416" s="853">
        <f t="shared" ca="1" si="30"/>
        <v>0</v>
      </c>
      <c r="I416" s="661" t="str">
        <f t="shared" ca="1" si="31"/>
        <v/>
      </c>
      <c r="J416" s="661" t="str">
        <f t="shared" ca="1" si="32"/>
        <v/>
      </c>
      <c r="K416" s="661" t="str">
        <f t="shared" ca="1" si="33"/>
        <v/>
      </c>
      <c r="L416" s="661" t="str">
        <f t="shared" ca="1" si="34"/>
        <v/>
      </c>
      <c r="M416" s="260"/>
      <c r="N416" s="273"/>
      <c r="O416" s="274"/>
    </row>
    <row r="417" spans="1:15" ht="13.95" customHeight="1" x14ac:dyDescent="0.25">
      <c r="A417" s="166"/>
      <c r="B417" s="269"/>
      <c r="C417" s="372"/>
      <c r="D417" s="542" t="s">
        <v>193</v>
      </c>
      <c r="E417" s="856">
        <f ca="1">VLOOKUP($D417,Data!$C$2:$H$384,6,FALSE)</f>
        <v>0</v>
      </c>
      <c r="F417" s="372"/>
      <c r="G417" s="542" t="s">
        <v>193</v>
      </c>
      <c r="H417" s="853">
        <f t="shared" ca="1" si="30"/>
        <v>0</v>
      </c>
      <c r="I417" s="661" t="str">
        <f t="shared" ca="1" si="31"/>
        <v/>
      </c>
      <c r="J417" s="661" t="str">
        <f t="shared" ca="1" si="32"/>
        <v/>
      </c>
      <c r="K417" s="661" t="str">
        <f t="shared" ca="1" si="33"/>
        <v/>
      </c>
      <c r="L417" s="661" t="str">
        <f t="shared" ca="1" si="34"/>
        <v/>
      </c>
      <c r="M417" s="260"/>
      <c r="N417" s="273"/>
      <c r="O417" s="274"/>
    </row>
    <row r="418" spans="1:15" ht="13.95" customHeight="1" x14ac:dyDescent="0.25">
      <c r="A418" s="166"/>
      <c r="B418" s="269"/>
      <c r="C418" s="372"/>
      <c r="D418" s="542" t="s">
        <v>194</v>
      </c>
      <c r="E418" s="856">
        <f ca="1">VLOOKUP($D418,Data!$C$2:$H$384,6,FALSE)</f>
        <v>0</v>
      </c>
      <c r="F418" s="372"/>
      <c r="G418" s="542" t="s">
        <v>194</v>
      </c>
      <c r="H418" s="853">
        <f t="shared" ca="1" si="30"/>
        <v>0</v>
      </c>
      <c r="I418" s="661" t="str">
        <f t="shared" ca="1" si="31"/>
        <v/>
      </c>
      <c r="J418" s="661" t="str">
        <f t="shared" ca="1" si="32"/>
        <v/>
      </c>
      <c r="K418" s="661" t="str">
        <f t="shared" ca="1" si="33"/>
        <v/>
      </c>
      <c r="L418" s="661" t="str">
        <f t="shared" ca="1" si="34"/>
        <v/>
      </c>
      <c r="M418" s="260"/>
      <c r="N418" s="273"/>
      <c r="O418" s="274"/>
    </row>
    <row r="419" spans="1:15" ht="13.95" customHeight="1" x14ac:dyDescent="0.25">
      <c r="A419" s="166"/>
      <c r="B419" s="269"/>
      <c r="C419" s="372"/>
      <c r="D419" s="542" t="s">
        <v>195</v>
      </c>
      <c r="E419" s="856">
        <f ca="1">VLOOKUP($D419,Data!$C$2:$H$384,6,FALSE)</f>
        <v>0</v>
      </c>
      <c r="F419" s="372"/>
      <c r="G419" s="542" t="s">
        <v>195</v>
      </c>
      <c r="H419" s="853">
        <f t="shared" ca="1" si="30"/>
        <v>0</v>
      </c>
      <c r="I419" s="661" t="str">
        <f t="shared" ca="1" si="31"/>
        <v/>
      </c>
      <c r="J419" s="661" t="str">
        <f t="shared" ca="1" si="32"/>
        <v/>
      </c>
      <c r="K419" s="661" t="str">
        <f t="shared" ca="1" si="33"/>
        <v/>
      </c>
      <c r="L419" s="661" t="str">
        <f t="shared" ca="1" si="34"/>
        <v/>
      </c>
      <c r="M419" s="260"/>
      <c r="N419" s="273"/>
      <c r="O419" s="274"/>
    </row>
    <row r="420" spans="1:15" ht="13.95" customHeight="1" x14ac:dyDescent="0.25">
      <c r="A420" s="166"/>
      <c r="B420" s="269"/>
      <c r="C420" s="372"/>
      <c r="D420" s="542" t="s">
        <v>196</v>
      </c>
      <c r="E420" s="856">
        <f ca="1">VLOOKUP($D420,Data!$C$2:$H$384,6,FALSE)</f>
        <v>0</v>
      </c>
      <c r="F420" s="372"/>
      <c r="G420" s="542" t="s">
        <v>196</v>
      </c>
      <c r="H420" s="853">
        <f t="shared" ca="1" si="30"/>
        <v>0</v>
      </c>
      <c r="I420" s="661" t="str">
        <f t="shared" ca="1" si="31"/>
        <v/>
      </c>
      <c r="J420" s="661" t="str">
        <f t="shared" ca="1" si="32"/>
        <v/>
      </c>
      <c r="K420" s="661" t="str">
        <f t="shared" ca="1" si="33"/>
        <v/>
      </c>
      <c r="L420" s="661" t="str">
        <f t="shared" ca="1" si="34"/>
        <v/>
      </c>
      <c r="M420" s="260"/>
      <c r="N420" s="273"/>
      <c r="O420" s="274"/>
    </row>
    <row r="421" spans="1:15" ht="13.95" customHeight="1" x14ac:dyDescent="0.25">
      <c r="A421" s="166"/>
      <c r="B421" s="269"/>
      <c r="C421" s="372"/>
      <c r="D421" s="542" t="s">
        <v>197</v>
      </c>
      <c r="E421" s="856">
        <f ca="1">VLOOKUP($D421,Data!$C$2:$H$384,6,FALSE)</f>
        <v>0</v>
      </c>
      <c r="F421" s="372"/>
      <c r="G421" s="542" t="s">
        <v>197</v>
      </c>
      <c r="H421" s="853">
        <f t="shared" ca="1" si="30"/>
        <v>0</v>
      </c>
      <c r="I421" s="661" t="str">
        <f t="shared" ca="1" si="31"/>
        <v/>
      </c>
      <c r="J421" s="661" t="str">
        <f t="shared" ca="1" si="32"/>
        <v/>
      </c>
      <c r="K421" s="661" t="str">
        <f t="shared" ca="1" si="33"/>
        <v/>
      </c>
      <c r="L421" s="661" t="str">
        <f t="shared" ca="1" si="34"/>
        <v/>
      </c>
      <c r="M421" s="260"/>
      <c r="N421" s="273"/>
      <c r="O421" s="274"/>
    </row>
    <row r="422" spans="1:15" ht="13.95" customHeight="1" x14ac:dyDescent="0.25">
      <c r="A422" s="166"/>
      <c r="B422" s="269"/>
      <c r="C422" s="372"/>
      <c r="D422" s="542" t="s">
        <v>199</v>
      </c>
      <c r="E422" s="856">
        <f ca="1">VLOOKUP($D422,Data!$C$2:$H$384,6,FALSE)</f>
        <v>0</v>
      </c>
      <c r="F422" s="372"/>
      <c r="G422" s="542" t="s">
        <v>199</v>
      </c>
      <c r="H422" s="853">
        <f t="shared" ca="1" si="30"/>
        <v>0</v>
      </c>
      <c r="I422" s="661" t="str">
        <f t="shared" ca="1" si="31"/>
        <v/>
      </c>
      <c r="J422" s="661" t="str">
        <f t="shared" ca="1" si="32"/>
        <v/>
      </c>
      <c r="K422" s="661" t="str">
        <f t="shared" ca="1" si="33"/>
        <v/>
      </c>
      <c r="L422" s="661" t="str">
        <f t="shared" ca="1" si="34"/>
        <v/>
      </c>
      <c r="M422" s="260"/>
      <c r="N422" s="273"/>
      <c r="O422" s="274"/>
    </row>
    <row r="423" spans="1:15" ht="13.95" customHeight="1" x14ac:dyDescent="0.25">
      <c r="A423" s="166"/>
      <c r="B423" s="269"/>
      <c r="C423" s="372"/>
      <c r="D423" s="542" t="s">
        <v>201</v>
      </c>
      <c r="E423" s="856">
        <f ca="1">VLOOKUP($D423,Data!$C$2:$H$384,6,FALSE)</f>
        <v>0</v>
      </c>
      <c r="F423" s="372"/>
      <c r="G423" s="542" t="s">
        <v>201</v>
      </c>
      <c r="H423" s="853">
        <f t="shared" ca="1" si="30"/>
        <v>0</v>
      </c>
      <c r="I423" s="661" t="str">
        <f t="shared" ca="1" si="31"/>
        <v/>
      </c>
      <c r="J423" s="661" t="str">
        <f t="shared" ca="1" si="32"/>
        <v/>
      </c>
      <c r="K423" s="661" t="str">
        <f t="shared" ca="1" si="33"/>
        <v/>
      </c>
      <c r="L423" s="661" t="str">
        <f t="shared" ca="1" si="34"/>
        <v/>
      </c>
      <c r="M423" s="260"/>
      <c r="N423" s="273"/>
      <c r="O423" s="274"/>
    </row>
    <row r="424" spans="1:15" ht="13.95" customHeight="1" x14ac:dyDescent="0.25">
      <c r="A424" s="166"/>
      <c r="B424" s="269"/>
      <c r="C424" s="372"/>
      <c r="D424" s="542" t="s">
        <v>205</v>
      </c>
      <c r="E424" s="856">
        <f ca="1">VLOOKUP($D424,Data!$C$2:$H$384,6,FALSE)</f>
        <v>0</v>
      </c>
      <c r="F424" s="372"/>
      <c r="G424" s="542" t="s">
        <v>205</v>
      </c>
      <c r="H424" s="853">
        <f t="shared" ca="1" si="30"/>
        <v>0</v>
      </c>
      <c r="I424" s="661" t="str">
        <f t="shared" ca="1" si="31"/>
        <v/>
      </c>
      <c r="J424" s="661" t="str">
        <f t="shared" ca="1" si="32"/>
        <v/>
      </c>
      <c r="K424" s="661" t="str">
        <f t="shared" ca="1" si="33"/>
        <v/>
      </c>
      <c r="L424" s="661" t="str">
        <f t="shared" ca="1" si="34"/>
        <v/>
      </c>
      <c r="M424" s="260"/>
      <c r="N424" s="273"/>
      <c r="O424" s="274"/>
    </row>
    <row r="425" spans="1:15" ht="13.95" customHeight="1" x14ac:dyDescent="0.25">
      <c r="A425" s="166"/>
      <c r="B425" s="269"/>
      <c r="C425" s="372"/>
      <c r="D425" s="542" t="s">
        <v>206</v>
      </c>
      <c r="E425" s="856">
        <f ca="1">VLOOKUP($D425,Data!$C$2:$H$384,6,FALSE)</f>
        <v>0</v>
      </c>
      <c r="F425" s="372"/>
      <c r="G425" s="542" t="s">
        <v>206</v>
      </c>
      <c r="H425" s="853">
        <f t="shared" ca="1" si="30"/>
        <v>0</v>
      </c>
      <c r="I425" s="661" t="str">
        <f t="shared" ca="1" si="31"/>
        <v/>
      </c>
      <c r="J425" s="661" t="str">
        <f t="shared" ca="1" si="32"/>
        <v/>
      </c>
      <c r="K425" s="661" t="str">
        <f t="shared" ca="1" si="33"/>
        <v/>
      </c>
      <c r="L425" s="661" t="str">
        <f t="shared" ca="1" si="34"/>
        <v/>
      </c>
      <c r="M425" s="260"/>
      <c r="N425" s="273"/>
      <c r="O425" s="274"/>
    </row>
    <row r="426" spans="1:15" ht="13.95" customHeight="1" x14ac:dyDescent="0.25">
      <c r="A426" s="166"/>
      <c r="B426" s="269"/>
      <c r="C426" s="372"/>
      <c r="D426" s="542" t="s">
        <v>207</v>
      </c>
      <c r="E426" s="856">
        <f ca="1">VLOOKUP($D426,Data!$C$2:$H$384,6,FALSE)</f>
        <v>0</v>
      </c>
      <c r="F426" s="372"/>
      <c r="G426" s="542" t="s">
        <v>207</v>
      </c>
      <c r="H426" s="853">
        <f t="shared" ca="1" si="30"/>
        <v>0</v>
      </c>
      <c r="I426" s="661" t="str">
        <f t="shared" ca="1" si="31"/>
        <v/>
      </c>
      <c r="J426" s="661" t="str">
        <f t="shared" ca="1" si="32"/>
        <v/>
      </c>
      <c r="K426" s="661" t="str">
        <f t="shared" ca="1" si="33"/>
        <v/>
      </c>
      <c r="L426" s="661" t="str">
        <f t="shared" ca="1" si="34"/>
        <v/>
      </c>
      <c r="M426" s="260"/>
      <c r="N426" s="273"/>
      <c r="O426" s="274"/>
    </row>
    <row r="427" spans="1:15" ht="13.95" customHeight="1" x14ac:dyDescent="0.25">
      <c r="A427" s="166"/>
      <c r="B427" s="269"/>
      <c r="C427" s="372"/>
      <c r="D427" s="542" t="s">
        <v>208</v>
      </c>
      <c r="E427" s="856">
        <f ca="1">VLOOKUP($D427,Data!$C$2:$H$384,6,FALSE)</f>
        <v>0</v>
      </c>
      <c r="F427" s="372"/>
      <c r="G427" s="542" t="s">
        <v>208</v>
      </c>
      <c r="H427" s="853">
        <f t="shared" ca="1" si="30"/>
        <v>0</v>
      </c>
      <c r="I427" s="661" t="str">
        <f t="shared" ca="1" si="31"/>
        <v/>
      </c>
      <c r="J427" s="661" t="str">
        <f t="shared" ca="1" si="32"/>
        <v/>
      </c>
      <c r="K427" s="661" t="str">
        <f t="shared" ca="1" si="33"/>
        <v/>
      </c>
      <c r="L427" s="661" t="str">
        <f t="shared" ca="1" si="34"/>
        <v/>
      </c>
      <c r="M427" s="260"/>
      <c r="N427" s="273"/>
      <c r="O427" s="274"/>
    </row>
    <row r="428" spans="1:15" ht="13.95" customHeight="1" x14ac:dyDescent="0.25">
      <c r="A428" s="166"/>
      <c r="B428" s="269"/>
      <c r="C428" s="372"/>
      <c r="D428" s="542" t="s">
        <v>209</v>
      </c>
      <c r="E428" s="856">
        <f ca="1">VLOOKUP($D428,Data!$C$2:$H$384,6,FALSE)</f>
        <v>0</v>
      </c>
      <c r="F428" s="372"/>
      <c r="G428" s="542" t="s">
        <v>209</v>
      </c>
      <c r="H428" s="853">
        <f t="shared" ca="1" si="30"/>
        <v>0</v>
      </c>
      <c r="I428" s="661" t="str">
        <f t="shared" ca="1" si="31"/>
        <v/>
      </c>
      <c r="J428" s="661" t="str">
        <f t="shared" ca="1" si="32"/>
        <v/>
      </c>
      <c r="K428" s="661" t="str">
        <f t="shared" ca="1" si="33"/>
        <v/>
      </c>
      <c r="L428" s="661" t="str">
        <f t="shared" ca="1" si="34"/>
        <v/>
      </c>
      <c r="M428" s="260"/>
      <c r="N428" s="273"/>
      <c r="O428" s="274"/>
    </row>
    <row r="429" spans="1:15" ht="13.95" customHeight="1" x14ac:dyDescent="0.25">
      <c r="A429" s="166"/>
      <c r="B429" s="269"/>
      <c r="C429" s="372"/>
      <c r="D429" s="542" t="s">
        <v>210</v>
      </c>
      <c r="E429" s="856">
        <f ca="1">VLOOKUP($D429,Data!$C$2:$H$384,6,FALSE)</f>
        <v>0</v>
      </c>
      <c r="F429" s="372"/>
      <c r="G429" s="542" t="s">
        <v>210</v>
      </c>
      <c r="H429" s="853">
        <f t="shared" ca="1" si="30"/>
        <v>0</v>
      </c>
      <c r="I429" s="661" t="str">
        <f t="shared" ca="1" si="31"/>
        <v/>
      </c>
      <c r="J429" s="661" t="str">
        <f t="shared" ca="1" si="32"/>
        <v/>
      </c>
      <c r="K429" s="661" t="str">
        <f t="shared" ca="1" si="33"/>
        <v/>
      </c>
      <c r="L429" s="661" t="str">
        <f t="shared" ca="1" si="34"/>
        <v/>
      </c>
      <c r="M429" s="260"/>
      <c r="N429" s="273"/>
      <c r="O429" s="274"/>
    </row>
    <row r="430" spans="1:15" ht="13.95" customHeight="1" x14ac:dyDescent="0.25">
      <c r="A430" s="166"/>
      <c r="B430" s="269"/>
      <c r="C430" s="372"/>
      <c r="D430" s="542" t="s">
        <v>274</v>
      </c>
      <c r="E430" s="856">
        <f ca="1">VLOOKUP($D430,Data!$C$2:$H$384,6,FALSE)</f>
        <v>0</v>
      </c>
      <c r="F430" s="372"/>
      <c r="G430" s="542" t="s">
        <v>274</v>
      </c>
      <c r="H430" s="853">
        <f t="shared" ca="1" si="30"/>
        <v>0</v>
      </c>
      <c r="I430" s="661" t="str">
        <f t="shared" ca="1" si="31"/>
        <v/>
      </c>
      <c r="J430" s="661" t="str">
        <f t="shared" ca="1" si="32"/>
        <v/>
      </c>
      <c r="K430" s="661" t="str">
        <f t="shared" ca="1" si="33"/>
        <v/>
      </c>
      <c r="L430" s="661" t="str">
        <f t="shared" ca="1" si="34"/>
        <v/>
      </c>
      <c r="M430" s="260"/>
      <c r="N430" s="273"/>
      <c r="O430" s="274"/>
    </row>
    <row r="431" spans="1:15" ht="13.95" customHeight="1" x14ac:dyDescent="0.25">
      <c r="A431" s="166"/>
      <c r="B431" s="269"/>
      <c r="C431" s="372"/>
      <c r="D431" s="542" t="s">
        <v>275</v>
      </c>
      <c r="E431" s="856">
        <f ca="1">VLOOKUP($D431,Data!$C$2:$H$384,6,FALSE)</f>
        <v>0</v>
      </c>
      <c r="F431" s="372"/>
      <c r="G431" s="542" t="s">
        <v>275</v>
      </c>
      <c r="H431" s="853">
        <f t="shared" ca="1" si="30"/>
        <v>0</v>
      </c>
      <c r="I431" s="661" t="str">
        <f t="shared" ca="1" si="31"/>
        <v/>
      </c>
      <c r="J431" s="661" t="str">
        <f t="shared" ca="1" si="32"/>
        <v/>
      </c>
      <c r="K431" s="661" t="str">
        <f t="shared" ca="1" si="33"/>
        <v/>
      </c>
      <c r="L431" s="661" t="str">
        <f t="shared" ca="1" si="34"/>
        <v/>
      </c>
      <c r="M431" s="260"/>
      <c r="N431" s="273"/>
      <c r="O431" s="274"/>
    </row>
    <row r="432" spans="1:15" ht="13.95" customHeight="1" x14ac:dyDescent="0.25">
      <c r="A432" s="166"/>
      <c r="B432" s="269"/>
      <c r="C432" s="372"/>
      <c r="D432" s="542" t="s">
        <v>276</v>
      </c>
      <c r="E432" s="856">
        <f ca="1">VLOOKUP($D432,Data!$C$2:$H$384,6,FALSE)</f>
        <v>0</v>
      </c>
      <c r="F432" s="372"/>
      <c r="G432" s="542" t="s">
        <v>276</v>
      </c>
      <c r="H432" s="853">
        <f t="shared" ca="1" si="30"/>
        <v>0</v>
      </c>
      <c r="I432" s="661" t="str">
        <f t="shared" ca="1" si="31"/>
        <v/>
      </c>
      <c r="J432" s="661" t="str">
        <f t="shared" ca="1" si="32"/>
        <v/>
      </c>
      <c r="K432" s="661" t="str">
        <f t="shared" ca="1" si="33"/>
        <v/>
      </c>
      <c r="L432" s="661" t="str">
        <f t="shared" ca="1" si="34"/>
        <v/>
      </c>
      <c r="M432" s="260"/>
      <c r="N432" s="273"/>
      <c r="O432" s="274"/>
    </row>
    <row r="433" spans="1:15" ht="13.95" customHeight="1" x14ac:dyDescent="0.25">
      <c r="A433" s="166"/>
      <c r="B433" s="269"/>
      <c r="C433" s="372"/>
      <c r="D433" s="542" t="s">
        <v>277</v>
      </c>
      <c r="E433" s="856">
        <f ca="1">VLOOKUP($D433,Data!$C$2:$H$384,6,FALSE)</f>
        <v>0</v>
      </c>
      <c r="F433" s="372"/>
      <c r="G433" s="542" t="s">
        <v>277</v>
      </c>
      <c r="H433" s="853">
        <f t="shared" ca="1" si="30"/>
        <v>0</v>
      </c>
      <c r="I433" s="661" t="str">
        <f t="shared" ca="1" si="31"/>
        <v/>
      </c>
      <c r="J433" s="661" t="str">
        <f t="shared" ca="1" si="32"/>
        <v/>
      </c>
      <c r="K433" s="661" t="str">
        <f t="shared" ca="1" si="33"/>
        <v/>
      </c>
      <c r="L433" s="661" t="str">
        <f t="shared" ca="1" si="34"/>
        <v/>
      </c>
      <c r="M433" s="260"/>
      <c r="N433" s="273"/>
      <c r="O433" s="274"/>
    </row>
    <row r="434" spans="1:15" ht="13.95" customHeight="1" x14ac:dyDescent="0.25">
      <c r="A434" s="166"/>
      <c r="B434" s="269"/>
      <c r="C434" s="372"/>
      <c r="D434" s="542" t="s">
        <v>278</v>
      </c>
      <c r="E434" s="856">
        <f ca="1">VLOOKUP($D434,Data!$C$2:$H$384,6,FALSE)</f>
        <v>0</v>
      </c>
      <c r="F434" s="372"/>
      <c r="G434" s="542" t="s">
        <v>278</v>
      </c>
      <c r="H434" s="853">
        <f t="shared" ca="1" si="30"/>
        <v>0</v>
      </c>
      <c r="I434" s="661" t="str">
        <f t="shared" ca="1" si="31"/>
        <v/>
      </c>
      <c r="J434" s="661" t="str">
        <f t="shared" ca="1" si="32"/>
        <v/>
      </c>
      <c r="K434" s="661" t="str">
        <f t="shared" ca="1" si="33"/>
        <v/>
      </c>
      <c r="L434" s="661" t="str">
        <f t="shared" ca="1" si="34"/>
        <v/>
      </c>
      <c r="M434" s="260"/>
      <c r="N434" s="273"/>
      <c r="O434" s="274"/>
    </row>
    <row r="435" spans="1:15" ht="13.95" customHeight="1" x14ac:dyDescent="0.25">
      <c r="A435" s="166"/>
      <c r="B435" s="269"/>
      <c r="C435" s="372"/>
      <c r="D435" s="542" t="s">
        <v>279</v>
      </c>
      <c r="E435" s="856">
        <f ca="1">VLOOKUP($D435,Data!$C$2:$H$384,6,FALSE)</f>
        <v>0</v>
      </c>
      <c r="F435" s="372"/>
      <c r="G435" s="542" t="s">
        <v>279</v>
      </c>
      <c r="H435" s="853">
        <f t="shared" ca="1" si="30"/>
        <v>0</v>
      </c>
      <c r="I435" s="661" t="str">
        <f t="shared" ca="1" si="31"/>
        <v/>
      </c>
      <c r="J435" s="661" t="str">
        <f t="shared" ca="1" si="32"/>
        <v/>
      </c>
      <c r="K435" s="661" t="str">
        <f t="shared" ca="1" si="33"/>
        <v/>
      </c>
      <c r="L435" s="661" t="str">
        <f t="shared" ca="1" si="34"/>
        <v/>
      </c>
      <c r="M435" s="260"/>
      <c r="N435" s="273"/>
      <c r="O435" s="274"/>
    </row>
    <row r="436" spans="1:15" ht="13.95" customHeight="1" x14ac:dyDescent="0.25">
      <c r="A436" s="166"/>
      <c r="B436" s="269"/>
      <c r="C436" s="372"/>
      <c r="D436" s="542" t="s">
        <v>2653</v>
      </c>
      <c r="E436" s="856">
        <f ca="1">VLOOKUP($D436,Data!$C$2:$H$384,6,FALSE)</f>
        <v>0</v>
      </c>
      <c r="F436" s="372"/>
      <c r="G436" s="542" t="s">
        <v>2653</v>
      </c>
      <c r="H436" s="853">
        <f t="shared" ca="1" si="30"/>
        <v>0</v>
      </c>
      <c r="I436" s="661" t="str">
        <f t="shared" ca="1" si="31"/>
        <v/>
      </c>
      <c r="J436" s="661" t="str">
        <f t="shared" ca="1" si="32"/>
        <v/>
      </c>
      <c r="K436" s="661" t="str">
        <f t="shared" ca="1" si="33"/>
        <v/>
      </c>
      <c r="L436" s="661" t="str">
        <f t="shared" ca="1" si="34"/>
        <v/>
      </c>
      <c r="M436" s="260"/>
      <c r="N436" s="273"/>
      <c r="O436" s="274"/>
    </row>
    <row r="437" spans="1:15" ht="13.95" customHeight="1" x14ac:dyDescent="0.25">
      <c r="A437" s="166"/>
      <c r="B437" s="269"/>
      <c r="C437" s="372"/>
      <c r="D437" s="542" t="s">
        <v>280</v>
      </c>
      <c r="E437" s="856">
        <f ca="1">VLOOKUP($D437,Data!$C$2:$H$384,6,FALSE)</f>
        <v>0</v>
      </c>
      <c r="F437" s="372"/>
      <c r="G437" s="542" t="s">
        <v>280</v>
      </c>
      <c r="H437" s="853">
        <f t="shared" ca="1" si="30"/>
        <v>0</v>
      </c>
      <c r="I437" s="661" t="str">
        <f t="shared" ca="1" si="31"/>
        <v/>
      </c>
      <c r="J437" s="661" t="str">
        <f t="shared" ca="1" si="32"/>
        <v/>
      </c>
      <c r="K437" s="661" t="str">
        <f t="shared" ca="1" si="33"/>
        <v/>
      </c>
      <c r="L437" s="661" t="str">
        <f t="shared" ca="1" si="34"/>
        <v/>
      </c>
      <c r="M437" s="260"/>
      <c r="N437" s="273"/>
      <c r="O437" s="274"/>
    </row>
    <row r="438" spans="1:15" ht="13.95" customHeight="1" x14ac:dyDescent="0.25">
      <c r="A438" s="166"/>
      <c r="B438" s="269"/>
      <c r="C438" s="372"/>
      <c r="D438" s="542" t="s">
        <v>281</v>
      </c>
      <c r="E438" s="856">
        <f ca="1">VLOOKUP($D438,Data!$C$2:$H$384,6,FALSE)</f>
        <v>0</v>
      </c>
      <c r="F438" s="372"/>
      <c r="G438" s="542" t="s">
        <v>281</v>
      </c>
      <c r="H438" s="853">
        <f t="shared" ca="1" si="30"/>
        <v>0</v>
      </c>
      <c r="I438" s="661" t="str">
        <f t="shared" ca="1" si="31"/>
        <v/>
      </c>
      <c r="J438" s="661" t="str">
        <f t="shared" ca="1" si="32"/>
        <v/>
      </c>
      <c r="K438" s="661" t="str">
        <f t="shared" ca="1" si="33"/>
        <v/>
      </c>
      <c r="L438" s="661" t="str">
        <f t="shared" ca="1" si="34"/>
        <v/>
      </c>
      <c r="M438" s="260"/>
      <c r="N438" s="273"/>
      <c r="O438" s="274"/>
    </row>
    <row r="439" spans="1:15" ht="13.95" customHeight="1" x14ac:dyDescent="0.25">
      <c r="A439" s="166"/>
      <c r="B439" s="269"/>
      <c r="C439" s="372"/>
      <c r="D439" s="542" t="s">
        <v>282</v>
      </c>
      <c r="E439" s="856">
        <f ca="1">VLOOKUP($D439,Data!$C$2:$H$384,6,FALSE)</f>
        <v>0</v>
      </c>
      <c r="F439" s="372"/>
      <c r="G439" s="542" t="s">
        <v>282</v>
      </c>
      <c r="H439" s="853">
        <f t="shared" ca="1" si="30"/>
        <v>0</v>
      </c>
      <c r="I439" s="661" t="str">
        <f t="shared" ca="1" si="31"/>
        <v/>
      </c>
      <c r="J439" s="661" t="str">
        <f t="shared" ca="1" si="32"/>
        <v/>
      </c>
      <c r="K439" s="661" t="str">
        <f t="shared" ca="1" si="33"/>
        <v/>
      </c>
      <c r="L439" s="661" t="str">
        <f t="shared" ca="1" si="34"/>
        <v/>
      </c>
      <c r="M439" s="260"/>
      <c r="N439" s="273"/>
      <c r="O439" s="274"/>
    </row>
    <row r="440" spans="1:15" ht="13.95" customHeight="1" x14ac:dyDescent="0.25">
      <c r="A440" s="166"/>
      <c r="B440" s="269"/>
      <c r="C440" s="372"/>
      <c r="D440" s="542" t="s">
        <v>283</v>
      </c>
      <c r="E440" s="856">
        <f ca="1">VLOOKUP($D440,Data!$C$2:$H$384,6,FALSE)</f>
        <v>0</v>
      </c>
      <c r="F440" s="372"/>
      <c r="G440" s="542" t="s">
        <v>283</v>
      </c>
      <c r="H440" s="853">
        <f t="shared" ca="1" si="30"/>
        <v>0</v>
      </c>
      <c r="I440" s="661" t="str">
        <f t="shared" ca="1" si="31"/>
        <v/>
      </c>
      <c r="J440" s="661" t="str">
        <f t="shared" ca="1" si="32"/>
        <v/>
      </c>
      <c r="K440" s="661" t="str">
        <f t="shared" ca="1" si="33"/>
        <v/>
      </c>
      <c r="L440" s="661" t="str">
        <f t="shared" ca="1" si="34"/>
        <v/>
      </c>
      <c r="M440" s="260"/>
      <c r="N440" s="273"/>
      <c r="O440" s="274"/>
    </row>
    <row r="441" spans="1:15" ht="13.95" customHeight="1" x14ac:dyDescent="0.25">
      <c r="A441" s="166"/>
      <c r="B441" s="269"/>
      <c r="C441" s="372"/>
      <c r="D441" s="542" t="s">
        <v>284</v>
      </c>
      <c r="E441" s="856">
        <f ca="1">VLOOKUP($D441,Data!$C$2:$H$384,6,FALSE)</f>
        <v>0</v>
      </c>
      <c r="F441" s="372"/>
      <c r="G441" s="542" t="s">
        <v>284</v>
      </c>
      <c r="H441" s="853">
        <f t="shared" ca="1" si="30"/>
        <v>0</v>
      </c>
      <c r="I441" s="661" t="str">
        <f t="shared" ca="1" si="31"/>
        <v/>
      </c>
      <c r="J441" s="661" t="str">
        <f t="shared" ca="1" si="32"/>
        <v/>
      </c>
      <c r="K441" s="661" t="str">
        <f t="shared" ca="1" si="33"/>
        <v/>
      </c>
      <c r="L441" s="661" t="str">
        <f t="shared" ca="1" si="34"/>
        <v/>
      </c>
      <c r="M441" s="260"/>
      <c r="N441" s="273"/>
      <c r="O441" s="274"/>
    </row>
    <row r="442" spans="1:15" ht="13.95" customHeight="1" x14ac:dyDescent="0.25">
      <c r="A442" s="166"/>
      <c r="B442" s="269"/>
      <c r="C442" s="372"/>
      <c r="D442" s="542" t="s">
        <v>285</v>
      </c>
      <c r="E442" s="856">
        <f ca="1">VLOOKUP($D442,Data!$C$2:$H$384,6,FALSE)</f>
        <v>0</v>
      </c>
      <c r="F442" s="372"/>
      <c r="G442" s="542" t="s">
        <v>285</v>
      </c>
      <c r="H442" s="853">
        <f t="shared" ca="1" si="30"/>
        <v>0</v>
      </c>
      <c r="I442" s="661" t="str">
        <f t="shared" ca="1" si="31"/>
        <v/>
      </c>
      <c r="J442" s="661" t="str">
        <f t="shared" ca="1" si="32"/>
        <v/>
      </c>
      <c r="K442" s="661" t="str">
        <f t="shared" ca="1" si="33"/>
        <v/>
      </c>
      <c r="L442" s="661" t="str">
        <f t="shared" ca="1" si="34"/>
        <v/>
      </c>
      <c r="M442" s="260"/>
      <c r="N442" s="273"/>
      <c r="O442" s="274"/>
    </row>
    <row r="443" spans="1:15" ht="13.95" customHeight="1" x14ac:dyDescent="0.25">
      <c r="A443" s="166"/>
      <c r="B443" s="269"/>
      <c r="C443" s="372"/>
      <c r="D443" s="542" t="s">
        <v>2654</v>
      </c>
      <c r="E443" s="856">
        <f ca="1">VLOOKUP($D443,Data!$C$2:$H$384,6,FALSE)</f>
        <v>0</v>
      </c>
      <c r="F443" s="372"/>
      <c r="G443" s="542" t="s">
        <v>2654</v>
      </c>
      <c r="H443" s="853">
        <f t="shared" ca="1" si="30"/>
        <v>0</v>
      </c>
      <c r="I443" s="661" t="str">
        <f t="shared" ca="1" si="31"/>
        <v/>
      </c>
      <c r="J443" s="661" t="str">
        <f t="shared" ca="1" si="32"/>
        <v/>
      </c>
      <c r="K443" s="661" t="str">
        <f t="shared" ca="1" si="33"/>
        <v/>
      </c>
      <c r="L443" s="661" t="str">
        <f t="shared" ca="1" si="34"/>
        <v/>
      </c>
      <c r="M443" s="260"/>
      <c r="N443" s="273"/>
      <c r="O443" s="274"/>
    </row>
    <row r="444" spans="1:15" ht="13.95" customHeight="1" x14ac:dyDescent="0.25">
      <c r="A444" s="166"/>
      <c r="B444" s="269"/>
      <c r="C444" s="372"/>
      <c r="D444" s="542" t="s">
        <v>286</v>
      </c>
      <c r="E444" s="856">
        <f ca="1">VLOOKUP($D444,Data!$C$2:$H$384,6,FALSE)</f>
        <v>0</v>
      </c>
      <c r="F444" s="372"/>
      <c r="G444" s="542" t="s">
        <v>286</v>
      </c>
      <c r="H444" s="853">
        <f t="shared" ca="1" si="30"/>
        <v>0</v>
      </c>
      <c r="I444" s="661" t="str">
        <f t="shared" ca="1" si="31"/>
        <v/>
      </c>
      <c r="J444" s="661" t="str">
        <f t="shared" ca="1" si="32"/>
        <v/>
      </c>
      <c r="K444" s="661" t="str">
        <f t="shared" ca="1" si="33"/>
        <v/>
      </c>
      <c r="L444" s="661" t="str">
        <f t="shared" ca="1" si="34"/>
        <v/>
      </c>
      <c r="M444" s="260"/>
      <c r="N444" s="273"/>
      <c r="O444" s="274"/>
    </row>
    <row r="445" spans="1:15" ht="13.95" customHeight="1" x14ac:dyDescent="0.25">
      <c r="A445" s="166"/>
      <c r="B445" s="269"/>
      <c r="C445" s="372"/>
      <c r="D445" s="542" t="s">
        <v>287</v>
      </c>
      <c r="E445" s="856">
        <f ca="1">VLOOKUP($D445,Data!$C$2:$H$384,6,FALSE)</f>
        <v>0</v>
      </c>
      <c r="F445" s="372"/>
      <c r="G445" s="542" t="s">
        <v>287</v>
      </c>
      <c r="H445" s="853">
        <f t="shared" ca="1" si="30"/>
        <v>0</v>
      </c>
      <c r="I445" s="661" t="str">
        <f t="shared" ca="1" si="31"/>
        <v/>
      </c>
      <c r="J445" s="661" t="str">
        <f t="shared" ca="1" si="32"/>
        <v/>
      </c>
      <c r="K445" s="661" t="str">
        <f t="shared" ca="1" si="33"/>
        <v/>
      </c>
      <c r="L445" s="661" t="str">
        <f t="shared" ca="1" si="34"/>
        <v/>
      </c>
      <c r="M445" s="260"/>
      <c r="N445" s="273"/>
      <c r="O445" s="274"/>
    </row>
    <row r="446" spans="1:15" ht="13.95" customHeight="1" x14ac:dyDescent="0.25">
      <c r="A446" s="166"/>
      <c r="B446" s="269"/>
      <c r="C446" s="372"/>
      <c r="D446" s="542" t="s">
        <v>288</v>
      </c>
      <c r="E446" s="856">
        <f ca="1">VLOOKUP($D446,Data!$C$2:$H$384,6,FALSE)</f>
        <v>0</v>
      </c>
      <c r="F446" s="372"/>
      <c r="G446" s="542" t="s">
        <v>288</v>
      </c>
      <c r="H446" s="853">
        <f t="shared" ca="1" si="30"/>
        <v>0</v>
      </c>
      <c r="I446" s="661" t="str">
        <f t="shared" ca="1" si="31"/>
        <v/>
      </c>
      <c r="J446" s="661" t="str">
        <f t="shared" ca="1" si="32"/>
        <v/>
      </c>
      <c r="K446" s="661" t="str">
        <f t="shared" ca="1" si="33"/>
        <v/>
      </c>
      <c r="L446" s="661" t="str">
        <f t="shared" ca="1" si="34"/>
        <v/>
      </c>
      <c r="M446" s="260"/>
      <c r="N446" s="273"/>
      <c r="O446" s="274"/>
    </row>
    <row r="447" spans="1:15" ht="13.95" customHeight="1" x14ac:dyDescent="0.25">
      <c r="A447" s="166"/>
      <c r="B447" s="269"/>
      <c r="C447" s="372"/>
      <c r="D447" s="542" t="s">
        <v>289</v>
      </c>
      <c r="E447" s="856">
        <f ca="1">VLOOKUP($D447,Data!$C$2:$H$384,6,FALSE)</f>
        <v>0</v>
      </c>
      <c r="F447" s="372"/>
      <c r="G447" s="542" t="s">
        <v>289</v>
      </c>
      <c r="H447" s="853">
        <f t="shared" ca="1" si="30"/>
        <v>0</v>
      </c>
      <c r="I447" s="661" t="str">
        <f t="shared" ca="1" si="31"/>
        <v/>
      </c>
      <c r="J447" s="661" t="str">
        <f t="shared" ca="1" si="32"/>
        <v/>
      </c>
      <c r="K447" s="661" t="str">
        <f t="shared" ca="1" si="33"/>
        <v/>
      </c>
      <c r="L447" s="661" t="str">
        <f t="shared" ca="1" si="34"/>
        <v/>
      </c>
      <c r="M447" s="260"/>
      <c r="N447" s="273"/>
      <c r="O447" s="274"/>
    </row>
    <row r="448" spans="1:15" ht="13.95" customHeight="1" x14ac:dyDescent="0.25">
      <c r="A448" s="166"/>
      <c r="B448" s="269"/>
      <c r="C448" s="372"/>
      <c r="D448" s="542" t="s">
        <v>290</v>
      </c>
      <c r="E448" s="856">
        <f ca="1">VLOOKUP($D448,Data!$C$2:$H$384,6,FALSE)</f>
        <v>0</v>
      </c>
      <c r="F448" s="372"/>
      <c r="G448" s="1037" t="s">
        <v>290</v>
      </c>
      <c r="H448" s="853">
        <f t="shared" ca="1" si="30"/>
        <v>0</v>
      </c>
      <c r="I448" s="661" t="str">
        <f t="shared" ca="1" si="31"/>
        <v/>
      </c>
      <c r="J448" s="661" t="str">
        <f t="shared" ca="1" si="32"/>
        <v/>
      </c>
      <c r="K448" s="661" t="str">
        <f t="shared" ca="1" si="33"/>
        <v/>
      </c>
      <c r="L448" s="661" t="str">
        <f t="shared" ca="1" si="34"/>
        <v/>
      </c>
      <c r="M448" s="260"/>
      <c r="N448" s="273"/>
      <c r="O448" s="274"/>
    </row>
    <row r="449" spans="1:15" ht="13.95" customHeight="1" x14ac:dyDescent="0.25">
      <c r="A449" s="166"/>
      <c r="B449" s="269"/>
      <c r="C449" s="372"/>
      <c r="D449" s="542" t="s">
        <v>291</v>
      </c>
      <c r="E449" s="856">
        <f ca="1">VLOOKUP($D449,Data!$C$2:$H$384,6,FALSE)</f>
        <v>0</v>
      </c>
      <c r="F449" s="372"/>
      <c r="G449" s="1037" t="s">
        <v>291</v>
      </c>
      <c r="H449" s="853">
        <f t="shared" ca="1" si="30"/>
        <v>0</v>
      </c>
      <c r="I449" s="661" t="str">
        <f t="shared" ca="1" si="31"/>
        <v/>
      </c>
      <c r="J449" s="661" t="str">
        <f t="shared" ca="1" si="32"/>
        <v/>
      </c>
      <c r="K449" s="661" t="str">
        <f t="shared" ca="1" si="33"/>
        <v/>
      </c>
      <c r="L449" s="661" t="str">
        <f t="shared" ca="1" si="34"/>
        <v/>
      </c>
      <c r="M449" s="260"/>
      <c r="N449" s="273"/>
      <c r="O449" s="274"/>
    </row>
    <row r="450" spans="1:15" ht="13.95" customHeight="1" x14ac:dyDescent="0.25">
      <c r="A450" s="166"/>
      <c r="B450" s="269"/>
      <c r="C450" s="372"/>
      <c r="D450" s="542" t="s">
        <v>292</v>
      </c>
      <c r="E450" s="856">
        <f ca="1">VLOOKUP($D450,Data!$C$2:$H$384,6,FALSE)</f>
        <v>0</v>
      </c>
      <c r="F450" s="372"/>
      <c r="G450" s="1037" t="s">
        <v>292</v>
      </c>
      <c r="H450" s="853">
        <f t="shared" ca="1" si="30"/>
        <v>0</v>
      </c>
      <c r="I450" s="661" t="str">
        <f t="shared" ca="1" si="31"/>
        <v/>
      </c>
      <c r="J450" s="661" t="str">
        <f t="shared" ca="1" si="32"/>
        <v/>
      </c>
      <c r="K450" s="661" t="str">
        <f t="shared" ca="1" si="33"/>
        <v/>
      </c>
      <c r="L450" s="661" t="str">
        <f t="shared" ca="1" si="34"/>
        <v/>
      </c>
      <c r="M450" s="260"/>
      <c r="N450" s="273"/>
      <c r="O450" s="274"/>
    </row>
    <row r="451" spans="1:15" ht="13.95" customHeight="1" x14ac:dyDescent="0.25">
      <c r="A451" s="166"/>
      <c r="B451" s="269"/>
      <c r="C451" s="372"/>
      <c r="D451" s="542" t="s">
        <v>293</v>
      </c>
      <c r="E451" s="856">
        <f ca="1">VLOOKUP($D451,Data!$C$2:$H$384,6,FALSE)</f>
        <v>0</v>
      </c>
      <c r="F451" s="372"/>
      <c r="G451" s="1037" t="s">
        <v>293</v>
      </c>
      <c r="H451" s="853">
        <f t="shared" ca="1" si="30"/>
        <v>0</v>
      </c>
      <c r="I451" s="661" t="str">
        <f t="shared" ca="1" si="31"/>
        <v/>
      </c>
      <c r="J451" s="661" t="str">
        <f t="shared" ca="1" si="32"/>
        <v/>
      </c>
      <c r="K451" s="661" t="str">
        <f t="shared" ca="1" si="33"/>
        <v/>
      </c>
      <c r="L451" s="661" t="str">
        <f t="shared" ca="1" si="34"/>
        <v/>
      </c>
      <c r="M451" s="260"/>
      <c r="N451" s="273"/>
      <c r="O451" s="274"/>
    </row>
    <row r="452" spans="1:15" ht="13.95" customHeight="1" x14ac:dyDescent="0.25">
      <c r="A452" s="166"/>
      <c r="B452" s="269"/>
      <c r="C452" s="372"/>
      <c r="D452" s="542" t="s">
        <v>294</v>
      </c>
      <c r="E452" s="856">
        <f ca="1">VLOOKUP($D452,Data!$C$2:$H$384,6,FALSE)</f>
        <v>0</v>
      </c>
      <c r="F452" s="372"/>
      <c r="G452" s="1037" t="s">
        <v>294</v>
      </c>
      <c r="H452" s="853">
        <f t="shared" ca="1" si="30"/>
        <v>0</v>
      </c>
      <c r="I452" s="661" t="str">
        <f t="shared" ca="1" si="31"/>
        <v/>
      </c>
      <c r="J452" s="661" t="str">
        <f t="shared" ca="1" si="32"/>
        <v/>
      </c>
      <c r="K452" s="661" t="str">
        <f t="shared" ca="1" si="33"/>
        <v/>
      </c>
      <c r="L452" s="661" t="str">
        <f t="shared" ca="1" si="34"/>
        <v/>
      </c>
      <c r="M452" s="260"/>
      <c r="N452" s="273"/>
      <c r="O452" s="274"/>
    </row>
    <row r="453" spans="1:15" ht="13.95" customHeight="1" x14ac:dyDescent="0.25">
      <c r="A453" s="166"/>
      <c r="B453" s="269"/>
      <c r="C453" s="372"/>
      <c r="D453" s="542" t="s">
        <v>295</v>
      </c>
      <c r="E453" s="856">
        <f ca="1">VLOOKUP($D453,Data!$C$2:$H$384,6,FALSE)</f>
        <v>0</v>
      </c>
      <c r="F453" s="372"/>
      <c r="G453" s="1037" t="s">
        <v>295</v>
      </c>
      <c r="H453" s="853">
        <f t="shared" ca="1" si="30"/>
        <v>0</v>
      </c>
      <c r="I453" s="661" t="str">
        <f t="shared" ca="1" si="31"/>
        <v/>
      </c>
      <c r="J453" s="661" t="str">
        <f t="shared" ca="1" si="32"/>
        <v/>
      </c>
      <c r="K453" s="661" t="str">
        <f t="shared" ca="1" si="33"/>
        <v/>
      </c>
      <c r="L453" s="661" t="str">
        <f t="shared" ca="1" si="34"/>
        <v/>
      </c>
      <c r="M453" s="260"/>
      <c r="N453" s="273"/>
      <c r="O453" s="274"/>
    </row>
    <row r="454" spans="1:15" ht="13.95" customHeight="1" x14ac:dyDescent="0.25">
      <c r="A454" s="166"/>
      <c r="B454" s="269"/>
      <c r="C454" s="372"/>
      <c r="D454" s="542" t="s">
        <v>296</v>
      </c>
      <c r="E454" s="856">
        <f ca="1">VLOOKUP($D454,Data!$C$2:$H$384,6,FALSE)</f>
        <v>0</v>
      </c>
      <c r="F454" s="372"/>
      <c r="G454" s="1037" t="s">
        <v>296</v>
      </c>
      <c r="H454" s="853">
        <f t="shared" ca="1" si="30"/>
        <v>0</v>
      </c>
      <c r="I454" s="661" t="str">
        <f t="shared" ca="1" si="31"/>
        <v/>
      </c>
      <c r="J454" s="661" t="str">
        <f t="shared" ca="1" si="32"/>
        <v/>
      </c>
      <c r="K454" s="661" t="str">
        <f t="shared" ca="1" si="33"/>
        <v/>
      </c>
      <c r="L454" s="661" t="str">
        <f t="shared" ca="1" si="34"/>
        <v/>
      </c>
      <c r="M454" s="260"/>
      <c r="N454" s="273"/>
      <c r="O454" s="274"/>
    </row>
    <row r="455" spans="1:15" ht="13.95" customHeight="1" x14ac:dyDescent="0.25">
      <c r="A455" s="166"/>
      <c r="B455" s="269"/>
      <c r="C455" s="372"/>
      <c r="D455" s="542" t="s">
        <v>2655</v>
      </c>
      <c r="E455" s="856">
        <f ca="1">VLOOKUP($D455,Data!$C$2:$H$384,6,FALSE)</f>
        <v>0</v>
      </c>
      <c r="F455" s="372"/>
      <c r="G455" s="1037" t="s">
        <v>2655</v>
      </c>
      <c r="H455" s="853">
        <f t="shared" ca="1" si="30"/>
        <v>0</v>
      </c>
      <c r="I455" s="661" t="str">
        <f t="shared" ca="1" si="31"/>
        <v/>
      </c>
      <c r="J455" s="661" t="str">
        <f t="shared" ca="1" si="32"/>
        <v/>
      </c>
      <c r="K455" s="661" t="str">
        <f t="shared" ca="1" si="33"/>
        <v/>
      </c>
      <c r="L455" s="661" t="str">
        <f t="shared" ca="1" si="34"/>
        <v/>
      </c>
      <c r="M455" s="260"/>
      <c r="N455" s="273"/>
      <c r="O455" s="274"/>
    </row>
    <row r="456" spans="1:15" ht="13.95" customHeight="1" x14ac:dyDescent="0.25">
      <c r="A456" s="166"/>
      <c r="B456" s="269"/>
      <c r="C456" s="372"/>
      <c r="D456" s="542" t="s">
        <v>297</v>
      </c>
      <c r="E456" s="856">
        <f ca="1">VLOOKUP($D456,Data!$C$2:$H$384,6,FALSE)</f>
        <v>0</v>
      </c>
      <c r="F456" s="372"/>
      <c r="G456" s="1037" t="s">
        <v>297</v>
      </c>
      <c r="H456" s="853">
        <f t="shared" ca="1" si="30"/>
        <v>0</v>
      </c>
      <c r="I456" s="661" t="str">
        <f t="shared" ca="1" si="31"/>
        <v/>
      </c>
      <c r="J456" s="661" t="str">
        <f t="shared" ca="1" si="32"/>
        <v/>
      </c>
      <c r="K456" s="661" t="str">
        <f t="shared" ca="1" si="33"/>
        <v/>
      </c>
      <c r="L456" s="661" t="str">
        <f t="shared" ca="1" si="34"/>
        <v/>
      </c>
      <c r="M456" s="260"/>
      <c r="N456" s="273"/>
      <c r="O456" s="274"/>
    </row>
    <row r="457" spans="1:15" ht="13.95" customHeight="1" x14ac:dyDescent="0.25">
      <c r="A457" s="166"/>
      <c r="B457" s="269"/>
      <c r="C457" s="372"/>
      <c r="D457" s="542" t="s">
        <v>298</v>
      </c>
      <c r="E457" s="856">
        <f ca="1">VLOOKUP($D457,Data!$C$2:$H$384,6,FALSE)</f>
        <v>0</v>
      </c>
      <c r="F457" s="372"/>
      <c r="G457" s="1037" t="s">
        <v>298</v>
      </c>
      <c r="H457" s="853">
        <f t="shared" ca="1" si="30"/>
        <v>0</v>
      </c>
      <c r="I457" s="661" t="str">
        <f t="shared" ca="1" si="31"/>
        <v/>
      </c>
      <c r="J457" s="661" t="str">
        <f t="shared" ca="1" si="32"/>
        <v/>
      </c>
      <c r="K457" s="661" t="str">
        <f t="shared" ca="1" si="33"/>
        <v/>
      </c>
      <c r="L457" s="661" t="str">
        <f t="shared" ca="1" si="34"/>
        <v/>
      </c>
      <c r="M457" s="260"/>
      <c r="N457" s="273"/>
      <c r="O457" s="274"/>
    </row>
    <row r="458" spans="1:15" ht="13.95" customHeight="1" x14ac:dyDescent="0.25">
      <c r="A458" s="274"/>
      <c r="B458" s="662"/>
      <c r="C458" s="338"/>
      <c r="D458" s="542" t="s">
        <v>299</v>
      </c>
      <c r="E458" s="856">
        <f ca="1">VLOOKUP($D458,Data!$C$2:$H$384,6,FALSE)</f>
        <v>0</v>
      </c>
      <c r="F458" s="338"/>
      <c r="G458" s="1037" t="s">
        <v>299</v>
      </c>
      <c r="H458" s="853">
        <f t="shared" ca="1" si="30"/>
        <v>0</v>
      </c>
      <c r="I458" s="661" t="str">
        <f t="shared" ca="1" si="31"/>
        <v/>
      </c>
      <c r="J458" s="661" t="str">
        <f t="shared" ca="1" si="32"/>
        <v/>
      </c>
      <c r="K458" s="661" t="str">
        <f t="shared" ca="1" si="33"/>
        <v/>
      </c>
      <c r="L458" s="661" t="str">
        <f t="shared" ca="1" si="34"/>
        <v/>
      </c>
      <c r="M458" s="338"/>
      <c r="N458" s="273"/>
      <c r="O458" s="274"/>
    </row>
    <row r="459" spans="1:15" ht="13.95" customHeight="1" x14ac:dyDescent="0.25">
      <c r="A459" s="181"/>
      <c r="B459" s="663"/>
      <c r="C459" s="653"/>
      <c r="D459" s="542" t="s">
        <v>300</v>
      </c>
      <c r="E459" s="856">
        <f ca="1">VLOOKUP($D459,Data!$C$2:$H$384,6,FALSE)</f>
        <v>0</v>
      </c>
      <c r="F459" s="653"/>
      <c r="G459" s="1037" t="s">
        <v>300</v>
      </c>
      <c r="H459" s="853">
        <f t="shared" ca="1" si="30"/>
        <v>0</v>
      </c>
      <c r="I459" s="661" t="str">
        <f t="shared" ca="1" si="31"/>
        <v/>
      </c>
      <c r="J459" s="661" t="str">
        <f t="shared" ca="1" si="32"/>
        <v/>
      </c>
      <c r="K459" s="661" t="str">
        <f t="shared" ca="1" si="33"/>
        <v/>
      </c>
      <c r="L459" s="661" t="str">
        <f t="shared" ca="1" si="34"/>
        <v/>
      </c>
      <c r="M459" s="653"/>
      <c r="N459" s="664"/>
      <c r="O459" s="274"/>
    </row>
    <row r="460" spans="1:15" ht="13.95" customHeight="1" x14ac:dyDescent="0.25">
      <c r="A460" s="181"/>
      <c r="B460" s="157"/>
      <c r="C460" s="260"/>
      <c r="D460" s="542" t="s">
        <v>301</v>
      </c>
      <c r="E460" s="856">
        <f ca="1">VLOOKUP($D460,Data!$C$2:$H$384,6,FALSE)</f>
        <v>0</v>
      </c>
      <c r="F460" s="260"/>
      <c r="G460" s="1037" t="s">
        <v>301</v>
      </c>
      <c r="H460" s="853">
        <f t="shared" ca="1" si="30"/>
        <v>0</v>
      </c>
      <c r="I460" s="661" t="str">
        <f t="shared" ca="1" si="31"/>
        <v/>
      </c>
      <c r="J460" s="661" t="str">
        <f t="shared" ca="1" si="32"/>
        <v/>
      </c>
      <c r="K460" s="661" t="str">
        <f t="shared" ca="1" si="33"/>
        <v/>
      </c>
      <c r="L460" s="661" t="str">
        <f t="shared" ca="1" si="34"/>
        <v/>
      </c>
      <c r="M460" s="260"/>
      <c r="N460" s="665"/>
      <c r="O460" s="274"/>
    </row>
    <row r="461" spans="1:15" ht="13.95" customHeight="1" x14ac:dyDescent="0.25">
      <c r="A461" s="181"/>
      <c r="B461" s="157"/>
      <c r="C461" s="260"/>
      <c r="D461" s="542" t="s">
        <v>302</v>
      </c>
      <c r="E461" s="856">
        <f ca="1">VLOOKUP($D461,Data!$C$2:$H$384,6,FALSE)</f>
        <v>0</v>
      </c>
      <c r="F461" s="260"/>
      <c r="G461" s="1037" t="s">
        <v>302</v>
      </c>
      <c r="H461" s="853">
        <f t="shared" ca="1" si="30"/>
        <v>0</v>
      </c>
      <c r="I461" s="661" t="str">
        <f t="shared" ca="1" si="31"/>
        <v/>
      </c>
      <c r="J461" s="661" t="str">
        <f t="shared" ca="1" si="32"/>
        <v/>
      </c>
      <c r="K461" s="661" t="str">
        <f t="shared" ca="1" si="33"/>
        <v/>
      </c>
      <c r="L461" s="661" t="str">
        <f t="shared" ca="1" si="34"/>
        <v/>
      </c>
      <c r="M461" s="260"/>
      <c r="N461" s="665"/>
      <c r="O461" s="274"/>
    </row>
    <row r="462" spans="1:15" ht="13.95" customHeight="1" x14ac:dyDescent="0.25">
      <c r="A462" s="181"/>
      <c r="B462" s="157"/>
      <c r="C462" s="260"/>
      <c r="D462" s="542" t="s">
        <v>846</v>
      </c>
      <c r="E462" s="1036">
        <f>Investment!$K8</f>
        <v>0</v>
      </c>
      <c r="F462" s="260"/>
      <c r="G462" s="542" t="s">
        <v>846</v>
      </c>
      <c r="H462" s="853">
        <f>Investment!$K8</f>
        <v>0</v>
      </c>
      <c r="I462" s="644" t="s">
        <v>1447</v>
      </c>
      <c r="J462" s="644" t="s">
        <v>1447</v>
      </c>
      <c r="K462" s="644" t="s">
        <v>1447</v>
      </c>
      <c r="L462" s="644" t="s">
        <v>1447</v>
      </c>
      <c r="M462" s="260"/>
      <c r="N462" s="665"/>
      <c r="O462" s="274"/>
    </row>
    <row r="463" spans="1:15" ht="13.95" customHeight="1" x14ac:dyDescent="0.25">
      <c r="A463" s="181"/>
      <c r="B463" s="157"/>
      <c r="C463" s="260"/>
      <c r="D463" s="542" t="s">
        <v>847</v>
      </c>
      <c r="E463" s="1036">
        <f>Investment!$K9</f>
        <v>0</v>
      </c>
      <c r="F463" s="260"/>
      <c r="G463" s="542" t="s">
        <v>847</v>
      </c>
      <c r="H463" s="853">
        <f>Investment!$K9</f>
        <v>0</v>
      </c>
      <c r="I463" s="644" t="s">
        <v>1447</v>
      </c>
      <c r="J463" s="644" t="s">
        <v>1447</v>
      </c>
      <c r="K463" s="644" t="s">
        <v>1447</v>
      </c>
      <c r="L463" s="644" t="s">
        <v>1447</v>
      </c>
      <c r="M463" s="260"/>
      <c r="N463" s="665"/>
      <c r="O463" s="274"/>
    </row>
    <row r="464" spans="1:15" ht="13.95" customHeight="1" x14ac:dyDescent="0.25">
      <c r="A464" s="181"/>
      <c r="B464" s="157"/>
      <c r="C464" s="260"/>
      <c r="D464" s="542" t="s">
        <v>848</v>
      </c>
      <c r="E464" s="1036">
        <f>Investment!$K10</f>
        <v>0</v>
      </c>
      <c r="F464" s="260"/>
      <c r="G464" s="542" t="s">
        <v>848</v>
      </c>
      <c r="H464" s="853">
        <f>Investment!$K10</f>
        <v>0</v>
      </c>
      <c r="I464" s="644" t="s">
        <v>1447</v>
      </c>
      <c r="J464" s="644" t="s">
        <v>1447</v>
      </c>
      <c r="K464" s="644" t="s">
        <v>1447</v>
      </c>
      <c r="L464" s="644" t="s">
        <v>1447</v>
      </c>
      <c r="M464" s="260"/>
      <c r="N464" s="665"/>
      <c r="O464" s="274"/>
    </row>
    <row r="465" spans="1:15" ht="13.95" customHeight="1" x14ac:dyDescent="0.25">
      <c r="A465" s="181"/>
      <c r="B465" s="157"/>
      <c r="C465" s="260"/>
      <c r="D465" s="542" t="s">
        <v>849</v>
      </c>
      <c r="E465" s="1036">
        <f>Investment!$K11</f>
        <v>0</v>
      </c>
      <c r="F465" s="260"/>
      <c r="G465" s="542" t="s">
        <v>849</v>
      </c>
      <c r="H465" s="853">
        <f>Investment!$K11</f>
        <v>0</v>
      </c>
      <c r="I465" s="644" t="s">
        <v>1447</v>
      </c>
      <c r="J465" s="644" t="s">
        <v>1447</v>
      </c>
      <c r="K465" s="644" t="s">
        <v>1447</v>
      </c>
      <c r="L465" s="644" t="s">
        <v>1447</v>
      </c>
      <c r="M465" s="260"/>
      <c r="N465" s="665"/>
      <c r="O465" s="274"/>
    </row>
    <row r="466" spans="1:15" ht="13.95" customHeight="1" x14ac:dyDescent="0.25">
      <c r="A466" s="181"/>
      <c r="B466" s="157"/>
      <c r="C466" s="260"/>
      <c r="D466" s="542" t="s">
        <v>850</v>
      </c>
      <c r="E466" s="1036">
        <f>Investment!$K12</f>
        <v>0</v>
      </c>
      <c r="F466" s="260"/>
      <c r="G466" s="542" t="s">
        <v>850</v>
      </c>
      <c r="H466" s="853">
        <f>Investment!$K12</f>
        <v>0</v>
      </c>
      <c r="I466" s="644" t="s">
        <v>1447</v>
      </c>
      <c r="J466" s="644" t="s">
        <v>1447</v>
      </c>
      <c r="K466" s="644" t="s">
        <v>1447</v>
      </c>
      <c r="L466" s="644" t="s">
        <v>1447</v>
      </c>
      <c r="M466" s="260"/>
      <c r="N466" s="665"/>
      <c r="O466" s="274"/>
    </row>
    <row r="467" spans="1:15" ht="13.95" customHeight="1" x14ac:dyDescent="0.25">
      <c r="A467" s="181"/>
      <c r="B467" s="157"/>
      <c r="C467" s="260"/>
      <c r="D467" s="542" t="s">
        <v>851</v>
      </c>
      <c r="E467" s="1036">
        <f>Investment!$K13</f>
        <v>0</v>
      </c>
      <c r="F467" s="260"/>
      <c r="G467" s="542" t="s">
        <v>851</v>
      </c>
      <c r="H467" s="853">
        <f>Investment!$K13</f>
        <v>0</v>
      </c>
      <c r="I467" s="644" t="s">
        <v>1447</v>
      </c>
      <c r="J467" s="644" t="s">
        <v>1447</v>
      </c>
      <c r="K467" s="644" t="s">
        <v>1447</v>
      </c>
      <c r="L467" s="644" t="s">
        <v>1447</v>
      </c>
      <c r="M467" s="260"/>
      <c r="N467" s="665"/>
      <c r="O467" s="274"/>
    </row>
    <row r="468" spans="1:15" ht="13.95" customHeight="1" x14ac:dyDescent="0.25">
      <c r="A468" s="181"/>
      <c r="B468" s="157"/>
      <c r="C468" s="260"/>
      <c r="D468" s="542" t="s">
        <v>852</v>
      </c>
      <c r="E468" s="1036">
        <f>Investment!$K14</f>
        <v>0</v>
      </c>
      <c r="F468" s="260"/>
      <c r="G468" s="542" t="s">
        <v>852</v>
      </c>
      <c r="H468" s="853">
        <f>Investment!$K14</f>
        <v>0</v>
      </c>
      <c r="I468" s="644" t="s">
        <v>1447</v>
      </c>
      <c r="J468" s="644" t="s">
        <v>1447</v>
      </c>
      <c r="K468" s="644" t="s">
        <v>1447</v>
      </c>
      <c r="L468" s="644" t="s">
        <v>1447</v>
      </c>
      <c r="M468" s="260"/>
      <c r="N468" s="665"/>
      <c r="O468" s="274"/>
    </row>
    <row r="469" spans="1:15" ht="13.95" customHeight="1" x14ac:dyDescent="0.25">
      <c r="A469" s="181"/>
      <c r="B469" s="157"/>
      <c r="C469" s="260"/>
      <c r="D469" s="542" t="s">
        <v>853</v>
      </c>
      <c r="E469" s="1036">
        <f>Investment!$K15</f>
        <v>0</v>
      </c>
      <c r="F469" s="260"/>
      <c r="G469" s="542" t="s">
        <v>853</v>
      </c>
      <c r="H469" s="853">
        <f>Investment!$K15</f>
        <v>0</v>
      </c>
      <c r="I469" s="644" t="s">
        <v>1447</v>
      </c>
      <c r="J469" s="644" t="s">
        <v>1447</v>
      </c>
      <c r="K469" s="644" t="s">
        <v>1447</v>
      </c>
      <c r="L469" s="644" t="s">
        <v>1447</v>
      </c>
      <c r="M469" s="260"/>
      <c r="N469" s="665"/>
      <c r="O469" s="274"/>
    </row>
    <row r="470" spans="1:15" ht="13.95" customHeight="1" x14ac:dyDescent="0.25">
      <c r="A470" s="274"/>
      <c r="B470" s="666"/>
      <c r="C470" s="659"/>
      <c r="D470" s="542" t="s">
        <v>854</v>
      </c>
      <c r="E470" s="856">
        <f>Investment!$K16</f>
        <v>0</v>
      </c>
      <c r="F470" s="659"/>
      <c r="G470" s="542" t="s">
        <v>854</v>
      </c>
      <c r="H470" s="853">
        <f>Investment!$K16</f>
        <v>0</v>
      </c>
      <c r="I470" s="644" t="s">
        <v>1447</v>
      </c>
      <c r="J470" s="644" t="s">
        <v>1447</v>
      </c>
      <c r="K470" s="644" t="s">
        <v>1447</v>
      </c>
      <c r="L470" s="644" t="s">
        <v>1447</v>
      </c>
      <c r="M470" s="260"/>
      <c r="N470" s="665"/>
      <c r="O470" s="274"/>
    </row>
    <row r="471" spans="1:15" ht="13.95" customHeight="1" x14ac:dyDescent="0.25">
      <c r="A471" s="274"/>
      <c r="B471" s="157"/>
      <c r="C471" s="260"/>
      <c r="D471" s="542" t="s">
        <v>855</v>
      </c>
      <c r="E471" s="856">
        <f>Investment!$K17</f>
        <v>0</v>
      </c>
      <c r="F471" s="260"/>
      <c r="G471" s="542" t="s">
        <v>855</v>
      </c>
      <c r="H471" s="853">
        <f>Investment!$K17</f>
        <v>0</v>
      </c>
      <c r="I471" s="644" t="s">
        <v>1447</v>
      </c>
      <c r="J471" s="644" t="s">
        <v>1447</v>
      </c>
      <c r="K471" s="644" t="s">
        <v>1447</v>
      </c>
      <c r="L471" s="644" t="s">
        <v>1447</v>
      </c>
      <c r="M471" s="260"/>
      <c r="N471" s="665"/>
      <c r="O471" s="274"/>
    </row>
    <row r="472" spans="1:15" ht="13.95" customHeight="1" x14ac:dyDescent="0.25">
      <c r="A472" s="274"/>
      <c r="B472" s="157"/>
      <c r="C472" s="260"/>
      <c r="D472" s="542" t="s">
        <v>856</v>
      </c>
      <c r="E472" s="856">
        <f>Investment!$K18</f>
        <v>0</v>
      </c>
      <c r="F472" s="260"/>
      <c r="G472" s="542" t="s">
        <v>856</v>
      </c>
      <c r="H472" s="853">
        <f>Investment!$K18</f>
        <v>0</v>
      </c>
      <c r="I472" s="644" t="s">
        <v>1447</v>
      </c>
      <c r="J472" s="644" t="s">
        <v>1447</v>
      </c>
      <c r="K472" s="644" t="s">
        <v>1447</v>
      </c>
      <c r="L472" s="644" t="s">
        <v>1447</v>
      </c>
      <c r="M472" s="260"/>
      <c r="N472" s="665"/>
      <c r="O472" s="274"/>
    </row>
    <row r="473" spans="1:15" ht="13.95" customHeight="1" x14ac:dyDescent="0.25">
      <c r="A473" s="274"/>
      <c r="B473" s="157"/>
      <c r="C473" s="260"/>
      <c r="D473" s="542" t="s">
        <v>857</v>
      </c>
      <c r="E473" s="856">
        <f>Investment!$L8</f>
        <v>0</v>
      </c>
      <c r="F473" s="260"/>
      <c r="G473" s="542" t="s">
        <v>857</v>
      </c>
      <c r="H473" s="853">
        <f>Investment!$L8</f>
        <v>0</v>
      </c>
      <c r="I473" s="644" t="s">
        <v>1447</v>
      </c>
      <c r="J473" s="644" t="s">
        <v>1447</v>
      </c>
      <c r="K473" s="644" t="s">
        <v>1447</v>
      </c>
      <c r="L473" s="644" t="s">
        <v>1447</v>
      </c>
      <c r="M473" s="260"/>
      <c r="N473" s="665"/>
      <c r="O473" s="274"/>
    </row>
    <row r="474" spans="1:15" ht="13.95" customHeight="1" x14ac:dyDescent="0.25">
      <c r="A474" s="274"/>
      <c r="B474" s="157"/>
      <c r="C474" s="260"/>
      <c r="D474" s="542" t="s">
        <v>858</v>
      </c>
      <c r="E474" s="856">
        <f>Investment!$L9</f>
        <v>0</v>
      </c>
      <c r="F474" s="260"/>
      <c r="G474" s="542" t="s">
        <v>858</v>
      </c>
      <c r="H474" s="853">
        <f>Investment!$L9</f>
        <v>0</v>
      </c>
      <c r="I474" s="644" t="s">
        <v>1447</v>
      </c>
      <c r="J474" s="644" t="s">
        <v>1447</v>
      </c>
      <c r="K474" s="644" t="s">
        <v>1447</v>
      </c>
      <c r="L474" s="644" t="s">
        <v>1447</v>
      </c>
      <c r="M474" s="260"/>
      <c r="N474" s="665"/>
      <c r="O474" s="274"/>
    </row>
    <row r="475" spans="1:15" ht="13.95" customHeight="1" x14ac:dyDescent="0.25">
      <c r="A475" s="274"/>
      <c r="B475" s="157"/>
      <c r="C475" s="260"/>
      <c r="D475" s="542" t="s">
        <v>859</v>
      </c>
      <c r="E475" s="856">
        <f>Investment!$L10</f>
        <v>0</v>
      </c>
      <c r="F475" s="260"/>
      <c r="G475" s="542" t="s">
        <v>859</v>
      </c>
      <c r="H475" s="853">
        <f>Investment!$L10</f>
        <v>0</v>
      </c>
      <c r="I475" s="644" t="s">
        <v>1447</v>
      </c>
      <c r="J475" s="644" t="s">
        <v>1447</v>
      </c>
      <c r="K475" s="644" t="s">
        <v>1447</v>
      </c>
      <c r="L475" s="644" t="s">
        <v>1447</v>
      </c>
      <c r="M475" s="260"/>
      <c r="N475" s="665"/>
      <c r="O475" s="274"/>
    </row>
    <row r="476" spans="1:15" ht="13.95" customHeight="1" x14ac:dyDescent="0.25">
      <c r="A476" s="274"/>
      <c r="B476" s="157"/>
      <c r="C476" s="260"/>
      <c r="D476" s="542" t="s">
        <v>860</v>
      </c>
      <c r="E476" s="856">
        <f>Investment!$L11</f>
        <v>0</v>
      </c>
      <c r="F476" s="260"/>
      <c r="G476" s="542" t="s">
        <v>860</v>
      </c>
      <c r="H476" s="853">
        <f>Investment!$L11</f>
        <v>0</v>
      </c>
      <c r="I476" s="644" t="s">
        <v>1447</v>
      </c>
      <c r="J476" s="644" t="s">
        <v>1447</v>
      </c>
      <c r="K476" s="644" t="s">
        <v>1447</v>
      </c>
      <c r="L476" s="644" t="s">
        <v>1447</v>
      </c>
      <c r="M476" s="260"/>
      <c r="N476" s="665"/>
      <c r="O476" s="274"/>
    </row>
    <row r="477" spans="1:15" ht="13.95" customHeight="1" x14ac:dyDescent="0.25">
      <c r="A477" s="274"/>
      <c r="B477" s="667"/>
      <c r="C477" s="239"/>
      <c r="D477" s="542" t="s">
        <v>861</v>
      </c>
      <c r="E477" s="856">
        <f>Investment!$L12</f>
        <v>0</v>
      </c>
      <c r="F477" s="239"/>
      <c r="G477" s="542" t="s">
        <v>861</v>
      </c>
      <c r="H477" s="853">
        <f>Investment!$L12</f>
        <v>0</v>
      </c>
      <c r="I477" s="644" t="s">
        <v>1447</v>
      </c>
      <c r="J477" s="644" t="s">
        <v>1447</v>
      </c>
      <c r="K477" s="644" t="s">
        <v>1447</v>
      </c>
      <c r="L477" s="644" t="s">
        <v>1447</v>
      </c>
      <c r="M477" s="239"/>
      <c r="N477" s="668"/>
      <c r="O477" s="274"/>
    </row>
    <row r="478" spans="1:15" ht="13.95" customHeight="1" x14ac:dyDescent="0.25">
      <c r="A478" s="274"/>
      <c r="B478" s="659"/>
      <c r="C478" s="659"/>
      <c r="D478" s="542" t="s">
        <v>862</v>
      </c>
      <c r="E478" s="856">
        <f>Investment!$L13</f>
        <v>0</v>
      </c>
      <c r="F478" s="1099"/>
      <c r="G478" s="542" t="s">
        <v>862</v>
      </c>
      <c r="H478" s="853">
        <f>Investment!$L13</f>
        <v>0</v>
      </c>
      <c r="I478" s="644" t="s">
        <v>1447</v>
      </c>
      <c r="J478" s="644" t="s">
        <v>1447</v>
      </c>
      <c r="K478" s="644" t="s">
        <v>1447</v>
      </c>
      <c r="L478" s="644" t="s">
        <v>1447</v>
      </c>
      <c r="M478" s="659"/>
      <c r="N478" s="659"/>
      <c r="O478" s="274"/>
    </row>
    <row r="479" spans="1:15" ht="13.95" customHeight="1" x14ac:dyDescent="0.25">
      <c r="A479" s="274"/>
      <c r="D479" s="542" t="s">
        <v>863</v>
      </c>
      <c r="E479" s="856">
        <f>Investment!$L14</f>
        <v>0</v>
      </c>
      <c r="G479" s="542" t="s">
        <v>863</v>
      </c>
      <c r="H479" s="853">
        <f>Investment!$L14</f>
        <v>0</v>
      </c>
      <c r="I479" s="644" t="s">
        <v>1447</v>
      </c>
      <c r="J479" s="644" t="s">
        <v>1447</v>
      </c>
      <c r="K479" s="644" t="s">
        <v>1447</v>
      </c>
      <c r="L479" s="644" t="s">
        <v>1447</v>
      </c>
      <c r="O479" s="274"/>
    </row>
    <row r="480" spans="1:15" ht="13.95" customHeight="1" x14ac:dyDescent="0.25">
      <c r="A480" s="274"/>
      <c r="D480" s="542" t="s">
        <v>864</v>
      </c>
      <c r="E480" s="857">
        <f>Investment!$L15</f>
        <v>0</v>
      </c>
      <c r="G480" s="542" t="s">
        <v>864</v>
      </c>
      <c r="H480" s="854">
        <f>Investment!$L15</f>
        <v>0</v>
      </c>
      <c r="I480" s="541" t="s">
        <v>1447</v>
      </c>
      <c r="J480" s="541" t="s">
        <v>1447</v>
      </c>
      <c r="K480" s="541" t="s">
        <v>1447</v>
      </c>
      <c r="L480" s="541" t="s">
        <v>1447</v>
      </c>
      <c r="O480" s="274"/>
    </row>
    <row r="481" spans="1:15" ht="13.95" customHeight="1" x14ac:dyDescent="0.25">
      <c r="A481" s="274"/>
      <c r="D481" s="542" t="s">
        <v>865</v>
      </c>
      <c r="E481" s="857">
        <f>Investment!$L16</f>
        <v>0</v>
      </c>
      <c r="G481" s="542" t="s">
        <v>865</v>
      </c>
      <c r="H481" s="854">
        <f>Investment!$L16</f>
        <v>0</v>
      </c>
      <c r="I481" s="541" t="s">
        <v>1447</v>
      </c>
      <c r="J481" s="541" t="s">
        <v>1447</v>
      </c>
      <c r="K481" s="541" t="s">
        <v>1447</v>
      </c>
      <c r="L481" s="541" t="s">
        <v>1447</v>
      </c>
      <c r="O481" s="274"/>
    </row>
    <row r="482" spans="1:15" ht="13.95" customHeight="1" x14ac:dyDescent="0.25">
      <c r="A482" s="274"/>
      <c r="D482" s="542" t="s">
        <v>866</v>
      </c>
      <c r="E482" s="857">
        <f>Investment!$L17</f>
        <v>0</v>
      </c>
      <c r="G482" s="542" t="s">
        <v>866</v>
      </c>
      <c r="H482" s="854">
        <f>Investment!$L17</f>
        <v>0</v>
      </c>
      <c r="I482" s="541" t="s">
        <v>1447</v>
      </c>
      <c r="J482" s="541" t="s">
        <v>1447</v>
      </c>
      <c r="K482" s="541" t="s">
        <v>1447</v>
      </c>
      <c r="L482" s="541" t="s">
        <v>1447</v>
      </c>
      <c r="O482" s="274"/>
    </row>
    <row r="483" spans="1:15" ht="13.95" customHeight="1" x14ac:dyDescent="0.25">
      <c r="A483" s="274"/>
      <c r="D483" s="542" t="s">
        <v>867</v>
      </c>
      <c r="E483" s="857">
        <f>Investment!$L18</f>
        <v>0</v>
      </c>
      <c r="G483" s="542" t="s">
        <v>867</v>
      </c>
      <c r="H483" s="854">
        <f>Investment!$L18</f>
        <v>0</v>
      </c>
      <c r="I483" s="541" t="s">
        <v>1447</v>
      </c>
      <c r="J483" s="541" t="s">
        <v>1447</v>
      </c>
      <c r="K483" s="541" t="s">
        <v>1447</v>
      </c>
      <c r="L483" s="541" t="s">
        <v>1447</v>
      </c>
      <c r="O483" s="274"/>
    </row>
    <row r="484" spans="1:15" ht="13.95" customHeight="1" x14ac:dyDescent="0.25">
      <c r="A484" s="274"/>
      <c r="G484" s="660"/>
      <c r="H484" s="855"/>
      <c r="I484" s="644"/>
      <c r="J484" s="644"/>
      <c r="K484" s="644"/>
      <c r="L484" s="644"/>
      <c r="O484" s="274"/>
    </row>
    <row r="485" spans="1:15" ht="13.95" customHeight="1" x14ac:dyDescent="0.25">
      <c r="A485" s="274"/>
      <c r="G485" s="260"/>
      <c r="H485" s="260"/>
      <c r="I485" s="260"/>
      <c r="J485" s="260"/>
      <c r="K485" s="260"/>
      <c r="L485" s="260"/>
      <c r="O485" s="274"/>
    </row>
    <row r="486" spans="1:15" ht="13.95" customHeight="1" x14ac:dyDescent="0.25">
      <c r="A486" s="274"/>
      <c r="G486" s="239"/>
      <c r="H486" s="239"/>
      <c r="I486" s="239"/>
      <c r="J486" s="239"/>
      <c r="K486" s="239"/>
      <c r="L486" s="239"/>
      <c r="O486" s="274"/>
    </row>
    <row r="487" spans="1:15" ht="13.95" customHeight="1" x14ac:dyDescent="0.25">
      <c r="A487" s="274"/>
      <c r="B487" s="274"/>
      <c r="C487" s="274"/>
      <c r="D487" s="274"/>
      <c r="E487" s="274"/>
      <c r="F487" s="274"/>
      <c r="G487" s="274"/>
      <c r="H487" s="274"/>
      <c r="I487" s="274"/>
      <c r="J487" s="274"/>
      <c r="K487" s="274"/>
      <c r="L487" s="274"/>
      <c r="M487" s="274"/>
      <c r="N487" s="274"/>
      <c r="O487" s="274"/>
    </row>
    <row r="488" spans="1:15" ht="13.95" customHeight="1" x14ac:dyDescent="0.25">
      <c r="A488" s="274"/>
      <c r="O488" s="659"/>
    </row>
    <row r="489" spans="1:15" ht="13.95" customHeight="1" x14ac:dyDescent="0.25">
      <c r="A489" s="274"/>
      <c r="O489" s="659"/>
    </row>
    <row r="490" spans="1:15" ht="13.95" customHeight="1" x14ac:dyDescent="0.25">
      <c r="A490" s="274"/>
      <c r="O490" s="659"/>
    </row>
    <row r="491" spans="1:15" ht="13.95" customHeight="1" x14ac:dyDescent="0.25">
      <c r="A491" s="274"/>
      <c r="O491" s="659"/>
    </row>
    <row r="492" spans="1:15" ht="13.95" customHeight="1" x14ac:dyDescent="0.25">
      <c r="A492" s="274"/>
      <c r="O492" s="659"/>
    </row>
  </sheetData>
  <sheetProtection sheet="1" formatCells="0" formatColumns="0" formatRows="0" autoFilter="0"/>
  <mergeCells count="2">
    <mergeCell ref="D7:E7"/>
    <mergeCell ref="R4:R16"/>
  </mergeCells>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I480"/>
  <sheetViews>
    <sheetView showGridLines="0" zoomScaleNormal="100" workbookViewId="0"/>
  </sheetViews>
  <sheetFormatPr defaultColWidth="9.1796875" defaultRowHeight="13.95" customHeight="1" x14ac:dyDescent="0.25"/>
  <cols>
    <col min="1" max="1" width="21.6328125" style="140" customWidth="1"/>
    <col min="2" max="2" width="14.7265625" style="140" customWidth="1"/>
    <col min="5" max="5" width="80.6328125" customWidth="1"/>
    <col min="10" max="16384" width="9.1796875" style="246"/>
  </cols>
  <sheetData>
    <row r="1" spans="1:9" s="140" customFormat="1" ht="13.95" customHeight="1" x14ac:dyDescent="0.25">
      <c r="A1" s="260"/>
      <c r="B1" s="260"/>
      <c r="C1"/>
      <c r="D1"/>
      <c r="E1"/>
      <c r="F1"/>
      <c r="G1"/>
      <c r="H1"/>
      <c r="I1"/>
    </row>
    <row r="2" spans="1:9" s="371" customFormat="1" ht="25.8" customHeight="1" x14ac:dyDescent="0.25">
      <c r="A2" s="531" t="str">
        <f>IF(VLOOKUP("KM53",Languages!$A:$D,1,TRUE)="KM53",VLOOKUP("KM53",Languages!$A:$D,Summary!$C$7,TRUE),NA())</f>
        <v>Arviointitulosten vienti</v>
      </c>
      <c r="B2" s="369"/>
      <c r="C2"/>
      <c r="D2"/>
      <c r="E2"/>
      <c r="F2"/>
      <c r="G2"/>
      <c r="H2"/>
      <c r="I2"/>
    </row>
    <row r="3" spans="1:9" s="140" customFormat="1" ht="91.2" customHeight="1" x14ac:dyDescent="0.25">
      <c r="A3" s="1287" t="str">
        <f>IF(VLOOKUP("KM56",Languages!$A:$D,1,TRUE)="KM56",VLOOKUP("KM56",Languages!$A:$D,Summary!$C$7,TRUE),NA())</f>
        <v>Tätä taulukkoa voidaan käyttää arviointitulosten siirtämiseen tai lähettämiseen Kyberturvallisuuskeskukselle. Valitse välilehti alalaidasta hiiren oikealla painikkeella ja kopioi välilehti uudeksi tiedostoksi.  Tallenna uudessa dokumentissa tämä välilehti .CSV muodossa.</v>
      </c>
      <c r="B3" s="1287"/>
      <c r="C3"/>
      <c r="D3"/>
      <c r="E3"/>
      <c r="F3"/>
      <c r="G3"/>
      <c r="H3"/>
      <c r="I3"/>
    </row>
    <row r="4" spans="1:9" s="140" customFormat="1" ht="13.95" customHeight="1" x14ac:dyDescent="0.25">
      <c r="A4" s="260"/>
      <c r="B4" s="260"/>
      <c r="C4"/>
      <c r="D4"/>
      <c r="E4"/>
      <c r="F4"/>
      <c r="G4"/>
      <c r="H4"/>
      <c r="I4"/>
    </row>
    <row r="5" spans="1:9" ht="13.95" customHeight="1" x14ac:dyDescent="0.25">
      <c r="A5" s="994" t="s">
        <v>31</v>
      </c>
      <c r="B5" s="994" t="s">
        <v>589</v>
      </c>
    </row>
    <row r="6" spans="1:9" ht="13.95" customHeight="1" x14ac:dyDescent="0.25">
      <c r="A6" s="836" t="s">
        <v>622</v>
      </c>
      <c r="B6" s="837">
        <f>Summary!$H$4</f>
        <v>0</v>
      </c>
    </row>
    <row r="7" spans="1:9" ht="13.95" customHeight="1" x14ac:dyDescent="0.25">
      <c r="A7" s="836" t="s">
        <v>619</v>
      </c>
      <c r="B7" s="838">
        <f>Summary!$E11</f>
        <v>0</v>
      </c>
    </row>
    <row r="8" spans="1:9" ht="13.95" customHeight="1" x14ac:dyDescent="0.25">
      <c r="A8" s="836" t="s">
        <v>2546</v>
      </c>
      <c r="B8" s="838">
        <f>Summary!$I11</f>
        <v>0</v>
      </c>
    </row>
    <row r="9" spans="1:9" ht="13.95" customHeight="1" x14ac:dyDescent="0.25">
      <c r="A9" s="836" t="s">
        <v>2605</v>
      </c>
      <c r="B9" s="837">
        <f>Summary!I12</f>
        <v>0</v>
      </c>
    </row>
    <row r="10" spans="1:9" ht="13.95" customHeight="1" x14ac:dyDescent="0.25">
      <c r="A10" s="836" t="s">
        <v>620</v>
      </c>
      <c r="B10" s="838">
        <f>Summary!$E12</f>
        <v>0</v>
      </c>
    </row>
    <row r="11" spans="1:9" ht="13.95" customHeight="1" x14ac:dyDescent="0.25">
      <c r="A11" s="836" t="s">
        <v>621</v>
      </c>
      <c r="B11" s="838">
        <f>Summary!$E13</f>
        <v>0</v>
      </c>
    </row>
    <row r="12" spans="1:9" ht="13.95" customHeight="1" x14ac:dyDescent="0.25">
      <c r="A12" s="836" t="s">
        <v>1927</v>
      </c>
      <c r="B12" s="838" t="str">
        <f>Summary!$E3</f>
        <v>2.1</v>
      </c>
    </row>
    <row r="13" spans="1:9" ht="13.95" customHeight="1" x14ac:dyDescent="0.25">
      <c r="A13" s="836" t="s">
        <v>1928</v>
      </c>
      <c r="B13" s="1007">
        <f>Summary!$E15</f>
        <v>0</v>
      </c>
    </row>
    <row r="14" spans="1:9" ht="13.95" customHeight="1" x14ac:dyDescent="0.25">
      <c r="A14" s="834" t="s">
        <v>1922</v>
      </c>
      <c r="B14" s="847">
        <f ca="1">NISTmap!$J$7</f>
        <v>0</v>
      </c>
    </row>
    <row r="15" spans="1:9" ht="13.95" customHeight="1" x14ac:dyDescent="0.25">
      <c r="A15" s="834" t="s">
        <v>1923</v>
      </c>
      <c r="B15" s="847">
        <f ca="1">NISTmap!$K$7</f>
        <v>0</v>
      </c>
    </row>
    <row r="16" spans="1:9" ht="13.95" customHeight="1" x14ac:dyDescent="0.25">
      <c r="A16" s="834" t="s">
        <v>1926</v>
      </c>
      <c r="B16" s="847">
        <f ca="1">NISTmap!$L$7</f>
        <v>0</v>
      </c>
    </row>
    <row r="17" spans="1:2" ht="13.95" customHeight="1" x14ac:dyDescent="0.25">
      <c r="A17" s="834" t="s">
        <v>1925</v>
      </c>
      <c r="B17" s="847">
        <f ca="1">NISTmap!$M$7</f>
        <v>0</v>
      </c>
    </row>
    <row r="18" spans="1:2" ht="13.95" customHeight="1" x14ac:dyDescent="0.25">
      <c r="A18" s="834" t="s">
        <v>1924</v>
      </c>
      <c r="B18" s="847">
        <f ca="1">NISTmap!$N$7</f>
        <v>0</v>
      </c>
    </row>
    <row r="19" spans="1:2" ht="13.95" customHeight="1" x14ac:dyDescent="0.25">
      <c r="A19" s="834" t="s">
        <v>59</v>
      </c>
      <c r="B19" s="835">
        <f ca="1">VLOOKUP($A19,Data!$K$2:$O$58,5,FALSE)</f>
        <v>0</v>
      </c>
    </row>
    <row r="20" spans="1:2" ht="13.95" customHeight="1" x14ac:dyDescent="0.25">
      <c r="A20" s="834" t="s">
        <v>61</v>
      </c>
      <c r="B20" s="835">
        <f ca="1">VLOOKUP($A20,Data!$K$2:$O$58,5,FALSE)</f>
        <v>0</v>
      </c>
    </row>
    <row r="21" spans="1:2" ht="13.95" customHeight="1" x14ac:dyDescent="0.25">
      <c r="A21" s="834" t="s">
        <v>63</v>
      </c>
      <c r="B21" s="835">
        <f ca="1">VLOOKUP($A21,Data!$K$2:$O$58,5,FALSE)</f>
        <v>0</v>
      </c>
    </row>
    <row r="22" spans="1:2" ht="13.95" customHeight="1" x14ac:dyDescent="0.25">
      <c r="A22" s="834" t="s">
        <v>66</v>
      </c>
      <c r="B22" s="835">
        <f ca="1">VLOOKUP($A22,Data!$K$2:$O$58,5,FALSE)</f>
        <v>0</v>
      </c>
    </row>
    <row r="23" spans="1:2" ht="13.95" customHeight="1" x14ac:dyDescent="0.25">
      <c r="A23" s="834" t="s">
        <v>1017</v>
      </c>
      <c r="B23" s="835">
        <f ca="1">VLOOKUP($A23,Data!$K$2:$O$58,5,FALSE)</f>
        <v>1</v>
      </c>
    </row>
    <row r="24" spans="1:2" ht="13.95" customHeight="1" x14ac:dyDescent="0.25">
      <c r="A24" s="834" t="s">
        <v>77</v>
      </c>
      <c r="B24" s="835">
        <f ca="1">VLOOKUP($A24,Data!$K$2:$O$58,5,FALSE)</f>
        <v>0</v>
      </c>
    </row>
    <row r="25" spans="1:2" ht="13.95" customHeight="1" x14ac:dyDescent="0.25">
      <c r="A25" s="834" t="s">
        <v>115</v>
      </c>
      <c r="B25" s="835">
        <f ca="1">VLOOKUP($A25,Data!$K$2:$O$58,5,FALSE)</f>
        <v>0</v>
      </c>
    </row>
    <row r="26" spans="1:2" ht="13.95" customHeight="1" x14ac:dyDescent="0.25">
      <c r="A26" s="834" t="s">
        <v>118</v>
      </c>
      <c r="B26" s="835">
        <f ca="1">VLOOKUP($A26,Data!$K$2:$O$58,5,FALSE)</f>
        <v>0</v>
      </c>
    </row>
    <row r="27" spans="1:2" ht="13.95" customHeight="1" x14ac:dyDescent="0.25">
      <c r="A27" s="834" t="s">
        <v>121</v>
      </c>
      <c r="B27" s="835">
        <f ca="1">VLOOKUP($A27,Data!$K$2:$O$58,5,FALSE)</f>
        <v>0</v>
      </c>
    </row>
    <row r="28" spans="1:2" ht="13.95" customHeight="1" x14ac:dyDescent="0.25">
      <c r="A28" s="834" t="s">
        <v>124</v>
      </c>
      <c r="B28" s="835">
        <f ca="1">VLOOKUP($A28,Data!$K$2:$O$58,5,FALSE)</f>
        <v>1</v>
      </c>
    </row>
    <row r="29" spans="1:2" ht="13.95" customHeight="1" x14ac:dyDescent="0.25">
      <c r="A29" s="834" t="s">
        <v>127</v>
      </c>
      <c r="B29" s="835">
        <f ca="1">VLOOKUP($A29,Data!$K$2:$O$58,5,FALSE)</f>
        <v>0</v>
      </c>
    </row>
    <row r="30" spans="1:2" ht="13.95" customHeight="1" x14ac:dyDescent="0.25">
      <c r="A30" s="834" t="s">
        <v>1027</v>
      </c>
      <c r="B30" s="835">
        <f ca="1">VLOOKUP($A30,Data!$K$2:$O$58,5,FALSE)</f>
        <v>1</v>
      </c>
    </row>
    <row r="31" spans="1:2" ht="13.95" customHeight="1" x14ac:dyDescent="0.25">
      <c r="A31" s="834" t="s">
        <v>48</v>
      </c>
      <c r="B31" s="835">
        <f ca="1">VLOOKUP($A31,Data!$K$2:$O$58,5,FALSE)</f>
        <v>0</v>
      </c>
    </row>
    <row r="32" spans="1:2" ht="13.95" customHeight="1" x14ac:dyDescent="0.25">
      <c r="A32" s="834" t="s">
        <v>50</v>
      </c>
      <c r="B32" s="835">
        <f ca="1">VLOOKUP($A32,Data!$K$2:$O$58,5,FALSE)</f>
        <v>0</v>
      </c>
    </row>
    <row r="33" spans="1:2" ht="13.95" customHeight="1" x14ac:dyDescent="0.25">
      <c r="A33" s="834" t="s">
        <v>52</v>
      </c>
      <c r="B33" s="835">
        <f ca="1">VLOOKUP($A33,Data!$K$2:$O$58,5,FALSE)</f>
        <v>0</v>
      </c>
    </row>
    <row r="34" spans="1:2" ht="13.95" customHeight="1" x14ac:dyDescent="0.25">
      <c r="A34" s="834" t="s">
        <v>54</v>
      </c>
      <c r="B34" s="835">
        <f ca="1">VLOOKUP($A34,Data!$K$2:$O$58,5,FALSE)</f>
        <v>0</v>
      </c>
    </row>
    <row r="35" spans="1:2" ht="13.95" customHeight="1" x14ac:dyDescent="0.25">
      <c r="A35" s="834" t="s">
        <v>55</v>
      </c>
      <c r="B35" s="835">
        <f ca="1">VLOOKUP($A35,Data!$K$2:$O$58,5,FALSE)</f>
        <v>0</v>
      </c>
    </row>
    <row r="36" spans="1:2" ht="13.95" customHeight="1" x14ac:dyDescent="0.25">
      <c r="A36" s="834" t="s">
        <v>57</v>
      </c>
      <c r="B36" s="835">
        <f ca="1">VLOOKUP($A36,Data!$K$2:$O$58,5,FALSE)</f>
        <v>1</v>
      </c>
    </row>
    <row r="37" spans="1:2" ht="13.95" customHeight="1" x14ac:dyDescent="0.25">
      <c r="A37" s="834" t="s">
        <v>56</v>
      </c>
      <c r="B37" s="835">
        <f ca="1">VLOOKUP($A37,Data!$K$2:$O$58,5,FALSE)</f>
        <v>0</v>
      </c>
    </row>
    <row r="38" spans="1:2" ht="13.95" customHeight="1" x14ac:dyDescent="0.25">
      <c r="A38" s="834" t="s">
        <v>147</v>
      </c>
      <c r="B38" s="835">
        <f ca="1">VLOOKUP($A38,Data!$K$2:$O$58,5,FALSE)</f>
        <v>0</v>
      </c>
    </row>
    <row r="39" spans="1:2" ht="13.95" customHeight="1" x14ac:dyDescent="0.25">
      <c r="A39" s="834" t="s">
        <v>149</v>
      </c>
      <c r="B39" s="835">
        <f ca="1">VLOOKUP($A39,Data!$K$2:$O$58,5,FALSE)</f>
        <v>0</v>
      </c>
    </row>
    <row r="40" spans="1:2" ht="13.95" customHeight="1" x14ac:dyDescent="0.25">
      <c r="A40" s="834" t="s">
        <v>151</v>
      </c>
      <c r="B40" s="835">
        <f ca="1">VLOOKUP($A40,Data!$K$2:$O$58,5,FALSE)</f>
        <v>0</v>
      </c>
    </row>
    <row r="41" spans="1:2" ht="13.95" customHeight="1" x14ac:dyDescent="0.25">
      <c r="A41" s="834" t="s">
        <v>79</v>
      </c>
      <c r="B41" s="835">
        <f ca="1">VLOOKUP($A41,Data!$K$2:$O$58,5,FALSE)</f>
        <v>0</v>
      </c>
    </row>
    <row r="42" spans="1:2" ht="13.95" customHeight="1" x14ac:dyDescent="0.25">
      <c r="A42" s="834" t="s">
        <v>132</v>
      </c>
      <c r="B42" s="835">
        <f ca="1">VLOOKUP($A42,Data!$K$2:$O$58,5,FALSE)</f>
        <v>0</v>
      </c>
    </row>
    <row r="43" spans="1:2" ht="13.95" customHeight="1" x14ac:dyDescent="0.25">
      <c r="A43" s="834" t="s">
        <v>135</v>
      </c>
      <c r="B43" s="835">
        <f ca="1">VLOOKUP($A43,Data!$K$2:$O$58,5,FALSE)</f>
        <v>0</v>
      </c>
    </row>
    <row r="44" spans="1:2" ht="13.95" customHeight="1" x14ac:dyDescent="0.25">
      <c r="A44" s="834" t="s">
        <v>138</v>
      </c>
      <c r="B44" s="835">
        <f ca="1">VLOOKUP($A44,Data!$K$2:$O$58,5,FALSE)</f>
        <v>1</v>
      </c>
    </row>
    <row r="45" spans="1:2" ht="13.95" customHeight="1" x14ac:dyDescent="0.25">
      <c r="A45" s="834" t="s">
        <v>69</v>
      </c>
      <c r="B45" s="835">
        <f ca="1">VLOOKUP($A45,Data!$K$2:$O$58,5,FALSE)</f>
        <v>0</v>
      </c>
    </row>
    <row r="46" spans="1:2" ht="13.95" customHeight="1" x14ac:dyDescent="0.25">
      <c r="A46" s="834" t="s">
        <v>90</v>
      </c>
      <c r="B46" s="835">
        <f ca="1">VLOOKUP($A46,Data!$K$2:$O$58,5,FALSE)</f>
        <v>0</v>
      </c>
    </row>
    <row r="47" spans="1:2" ht="13.95" customHeight="1" x14ac:dyDescent="0.25">
      <c r="A47" s="834" t="s">
        <v>92</v>
      </c>
      <c r="B47" s="835">
        <f ca="1">VLOOKUP($A47,Data!$K$2:$O$58,5,FALSE)</f>
        <v>0</v>
      </c>
    </row>
    <row r="48" spans="1:2" ht="13.95" customHeight="1" x14ac:dyDescent="0.25">
      <c r="A48" s="834" t="s">
        <v>94</v>
      </c>
      <c r="B48" s="835">
        <f ca="1">VLOOKUP($A48,Data!$K$2:$O$58,5,FALSE)</f>
        <v>0</v>
      </c>
    </row>
    <row r="49" spans="1:2" ht="13.95" customHeight="1" x14ac:dyDescent="0.25">
      <c r="A49" s="834" t="s">
        <v>96</v>
      </c>
      <c r="B49" s="835">
        <f ca="1">VLOOKUP($A49,Data!$K$2:$O$58,5,FALSE)</f>
        <v>0</v>
      </c>
    </row>
    <row r="50" spans="1:2" ht="13.95" customHeight="1" x14ac:dyDescent="0.25">
      <c r="A50" s="834" t="s">
        <v>1025</v>
      </c>
      <c r="B50" s="835">
        <f ca="1">VLOOKUP($A50,Data!$K$2:$O$58,5,FALSE)</f>
        <v>1</v>
      </c>
    </row>
    <row r="51" spans="1:2" ht="13.95" customHeight="1" x14ac:dyDescent="0.25">
      <c r="A51" s="834" t="s">
        <v>0</v>
      </c>
      <c r="B51" s="835">
        <f ca="1">VLOOKUP($A51,Data!$K$2:$O$58,5,FALSE)</f>
        <v>0</v>
      </c>
    </row>
    <row r="52" spans="1:2" ht="13.95" customHeight="1" x14ac:dyDescent="0.25">
      <c r="A52" s="834" t="s">
        <v>40</v>
      </c>
      <c r="B52" s="835">
        <f ca="1">VLOOKUP($A52,Data!$K$2:$O$58,5,FALSE)</f>
        <v>0</v>
      </c>
    </row>
    <row r="53" spans="1:2" ht="13.95" customHeight="1" x14ac:dyDescent="0.25">
      <c r="A53" s="834" t="s">
        <v>44</v>
      </c>
      <c r="B53" s="835">
        <f ca="1">VLOOKUP($A53,Data!$K$2:$O$58,5,FALSE)</f>
        <v>0</v>
      </c>
    </row>
    <row r="54" spans="1:2" ht="13.95" customHeight="1" x14ac:dyDescent="0.25">
      <c r="A54" s="834" t="s">
        <v>46</v>
      </c>
      <c r="B54" s="835">
        <f ca="1">VLOOKUP($A54,Data!$K$2:$O$58,5,FALSE)</f>
        <v>0</v>
      </c>
    </row>
    <row r="55" spans="1:2" ht="13.95" customHeight="1" x14ac:dyDescent="0.25">
      <c r="A55" s="834" t="s">
        <v>1015</v>
      </c>
      <c r="B55" s="835">
        <f ca="1">VLOOKUP($A55,Data!$K$2:$O$58,5,FALSE)</f>
        <v>0</v>
      </c>
    </row>
    <row r="56" spans="1:2" ht="13.95" customHeight="1" x14ac:dyDescent="0.25">
      <c r="A56" s="834" t="s">
        <v>1016</v>
      </c>
      <c r="B56" s="835">
        <f ca="1">VLOOKUP($A56,Data!$K$2:$O$58,5,FALSE)</f>
        <v>1</v>
      </c>
    </row>
    <row r="57" spans="1:2" ht="13.95" customHeight="1" x14ac:dyDescent="0.25">
      <c r="A57" s="834" t="s">
        <v>67</v>
      </c>
      <c r="B57" s="835">
        <f ca="1">VLOOKUP($A57,Data!$K$2:$O$58,5,FALSE)</f>
        <v>0</v>
      </c>
    </row>
    <row r="58" spans="1:2" ht="13.95" customHeight="1" x14ac:dyDescent="0.25">
      <c r="A58" s="834" t="s">
        <v>81</v>
      </c>
      <c r="B58" s="835">
        <f ca="1">VLOOKUP($A58,Data!$K$2:$O$58,5,FALSE)</f>
        <v>0</v>
      </c>
    </row>
    <row r="59" spans="1:2" ht="13.95" customHeight="1" x14ac:dyDescent="0.25">
      <c r="A59" s="834" t="s">
        <v>83</v>
      </c>
      <c r="B59" s="835">
        <f ca="1">VLOOKUP($A59,Data!$K$2:$O$58,5,FALSE)</f>
        <v>0</v>
      </c>
    </row>
    <row r="60" spans="1:2" ht="13.95" customHeight="1" x14ac:dyDescent="0.25">
      <c r="A60" s="834" t="s">
        <v>85</v>
      </c>
      <c r="B60" s="835">
        <f ca="1">VLOOKUP($A60,Data!$K$2:$O$58,5,FALSE)</f>
        <v>1</v>
      </c>
    </row>
    <row r="61" spans="1:2" ht="13.95" customHeight="1" x14ac:dyDescent="0.25">
      <c r="A61" s="834" t="s">
        <v>87</v>
      </c>
      <c r="B61" s="835">
        <f ca="1">VLOOKUP($A61,Data!$K$2:$O$58,5,FALSE)</f>
        <v>1</v>
      </c>
    </row>
    <row r="62" spans="1:2" ht="13.95" customHeight="1" x14ac:dyDescent="0.25">
      <c r="A62" s="834" t="s">
        <v>2619</v>
      </c>
      <c r="B62" s="835">
        <f ca="1">VLOOKUP($A62,Data!$K$2:$O$58,5,FALSE)</f>
        <v>0</v>
      </c>
    </row>
    <row r="63" spans="1:2" ht="13.95" customHeight="1" x14ac:dyDescent="0.25">
      <c r="A63" s="834" t="s">
        <v>2621</v>
      </c>
      <c r="B63" s="835">
        <f ca="1">VLOOKUP($A63,Data!$K$2:$O$58,5,FALSE)</f>
        <v>0</v>
      </c>
    </row>
    <row r="64" spans="1:2" ht="13.95" customHeight="1" x14ac:dyDescent="0.25">
      <c r="A64" s="834" t="s">
        <v>2629</v>
      </c>
      <c r="B64" s="835">
        <f ca="1">VLOOKUP($A64,Data!$K$2:$O$58,5,FALSE)</f>
        <v>0</v>
      </c>
    </row>
    <row r="65" spans="1:2" ht="13.95" customHeight="1" x14ac:dyDescent="0.25">
      <c r="A65" s="834" t="s">
        <v>2644</v>
      </c>
      <c r="B65" s="835">
        <f ca="1">VLOOKUP($A65,Data!$K$2:$O$58,5,FALSE)</f>
        <v>1</v>
      </c>
    </row>
    <row r="66" spans="1:2" ht="13.95" customHeight="1" x14ac:dyDescent="0.25">
      <c r="A66" s="834" t="s">
        <v>64</v>
      </c>
      <c r="B66" s="835">
        <f ca="1">VLOOKUP($A66,Data!$K$2:$O$58,5,FALSE)</f>
        <v>0</v>
      </c>
    </row>
    <row r="67" spans="1:2" ht="13.95" customHeight="1" x14ac:dyDescent="0.25">
      <c r="A67" s="834" t="s">
        <v>71</v>
      </c>
      <c r="B67" s="835">
        <f ca="1">VLOOKUP($A67,Data!$K$2:$O$58,5,FALSE)</f>
        <v>0</v>
      </c>
    </row>
    <row r="68" spans="1:2" ht="13.95" customHeight="1" x14ac:dyDescent="0.25">
      <c r="A68" s="834" t="s">
        <v>73</v>
      </c>
      <c r="B68" s="835">
        <f ca="1">VLOOKUP($A68,Data!$K$2:$O$58,5,FALSE)</f>
        <v>0</v>
      </c>
    </row>
    <row r="69" spans="1:2" ht="13.95" customHeight="1" x14ac:dyDescent="0.25">
      <c r="A69" s="834" t="s">
        <v>76</v>
      </c>
      <c r="B69" s="835">
        <f ca="1">VLOOKUP($A69,Data!$K$2:$O$58,5,FALSE)</f>
        <v>1</v>
      </c>
    </row>
    <row r="70" spans="1:2" ht="13.95" customHeight="1" x14ac:dyDescent="0.25">
      <c r="A70" s="834" t="s">
        <v>74</v>
      </c>
      <c r="B70" s="835">
        <f ca="1">VLOOKUP($A70,Data!$K$2:$O$58,5,FALSE)</f>
        <v>0</v>
      </c>
    </row>
    <row r="71" spans="1:2" ht="13.95" customHeight="1" x14ac:dyDescent="0.25">
      <c r="A71" s="834" t="s">
        <v>104</v>
      </c>
      <c r="B71" s="835">
        <f ca="1">VLOOKUP($A71,Data!$K$2:$O$58,5,FALSE)</f>
        <v>0</v>
      </c>
    </row>
    <row r="72" spans="1:2" ht="13.95" customHeight="1" x14ac:dyDescent="0.25">
      <c r="A72" s="848" t="s">
        <v>106</v>
      </c>
      <c r="B72" s="835">
        <f ca="1">VLOOKUP($A72,Data!$K$2:$O$58,5,FALSE)</f>
        <v>0</v>
      </c>
    </row>
    <row r="73" spans="1:2" ht="13.95" customHeight="1" x14ac:dyDescent="0.25">
      <c r="A73" s="848" t="s">
        <v>108</v>
      </c>
      <c r="B73" s="835">
        <f ca="1">VLOOKUP($A73,Data!$K$2:$O$58,5,FALSE)</f>
        <v>0</v>
      </c>
    </row>
    <row r="74" spans="1:2" ht="13.95" customHeight="1" x14ac:dyDescent="0.25">
      <c r="A74" s="848" t="s">
        <v>110</v>
      </c>
      <c r="B74" s="835">
        <f ca="1">VLOOKUP($A74,Data!$K$2:$O$58,5,FALSE)</f>
        <v>0</v>
      </c>
    </row>
    <row r="75" spans="1:2" ht="13.95" customHeight="1" x14ac:dyDescent="0.25">
      <c r="A75" s="848" t="s">
        <v>112</v>
      </c>
      <c r="B75" s="835">
        <f ca="1">VLOOKUP($A75,Data!$K$2:$O$58,5,FALSE)</f>
        <v>1</v>
      </c>
    </row>
    <row r="76" spans="1:2" ht="13.95" customHeight="1" x14ac:dyDescent="0.25">
      <c r="A76" s="542" t="s">
        <v>150</v>
      </c>
      <c r="B76" s="645">
        <f ca="1">VLOOKUP($A76,Data!$C$2:$H$384,6,FALSE)</f>
        <v>0</v>
      </c>
    </row>
    <row r="77" spans="1:2" ht="13.95" customHeight="1" x14ac:dyDescent="0.25">
      <c r="A77" s="542" t="s">
        <v>152</v>
      </c>
      <c r="B77" s="645">
        <f ca="1">VLOOKUP($A77,Data!$C$2:$H$384,6,FALSE)</f>
        <v>0</v>
      </c>
    </row>
    <row r="78" spans="1:2" ht="13.95" customHeight="1" x14ac:dyDescent="0.25">
      <c r="A78" s="542" t="s">
        <v>153</v>
      </c>
      <c r="B78" s="645">
        <f ca="1">VLOOKUP($A78,Data!$C$2:$H$384,6,FALSE)</f>
        <v>0</v>
      </c>
    </row>
    <row r="79" spans="1:2" ht="13.95" customHeight="1" x14ac:dyDescent="0.25">
      <c r="A79" s="542" t="s">
        <v>154</v>
      </c>
      <c r="B79" s="645">
        <f ca="1">VLOOKUP($A79,Data!$C$2:$H$384,6,FALSE)</f>
        <v>0</v>
      </c>
    </row>
    <row r="80" spans="1:2" ht="13.95" customHeight="1" x14ac:dyDescent="0.25">
      <c r="A80" s="542" t="s">
        <v>155</v>
      </c>
      <c r="B80" s="645">
        <f ca="1">VLOOKUP($A80,Data!$C$2:$H$384,6,FALSE)</f>
        <v>0</v>
      </c>
    </row>
    <row r="81" spans="1:2" ht="13.95" customHeight="1" x14ac:dyDescent="0.25">
      <c r="A81" s="542" t="s">
        <v>156</v>
      </c>
      <c r="B81" s="645">
        <f ca="1">VLOOKUP($A81,Data!$C$2:$H$384,6,FALSE)</f>
        <v>0</v>
      </c>
    </row>
    <row r="82" spans="1:2" ht="13.95" customHeight="1" x14ac:dyDescent="0.25">
      <c r="A82" s="542" t="s">
        <v>157</v>
      </c>
      <c r="B82" s="645">
        <f ca="1">VLOOKUP($A82,Data!$C$2:$H$384,6,FALSE)</f>
        <v>0</v>
      </c>
    </row>
    <row r="83" spans="1:2" ht="13.95" customHeight="1" x14ac:dyDescent="0.25">
      <c r="A83" s="542" t="s">
        <v>2606</v>
      </c>
      <c r="B83" s="645">
        <f ca="1">VLOOKUP($A83,Data!$C$2:$H$384,6,FALSE)</f>
        <v>0</v>
      </c>
    </row>
    <row r="84" spans="1:2" ht="13.95" customHeight="1" x14ac:dyDescent="0.25">
      <c r="A84" s="542" t="s">
        <v>2607</v>
      </c>
      <c r="B84" s="645">
        <f ca="1">VLOOKUP($A84,Data!$C$2:$H$384,6,FALSE)</f>
        <v>0</v>
      </c>
    </row>
    <row r="85" spans="1:2" ht="13.95" customHeight="1" x14ac:dyDescent="0.25">
      <c r="A85" s="542" t="s">
        <v>2608</v>
      </c>
      <c r="B85" s="645">
        <f ca="1">VLOOKUP($A85,Data!$C$2:$H$384,6,FALSE)</f>
        <v>0</v>
      </c>
    </row>
    <row r="86" spans="1:2" ht="13.95" customHeight="1" x14ac:dyDescent="0.25">
      <c r="A86" s="542" t="s">
        <v>158</v>
      </c>
      <c r="B86" s="645">
        <f ca="1">VLOOKUP($A86,Data!$C$2:$H$384,6,FALSE)</f>
        <v>0</v>
      </c>
    </row>
    <row r="87" spans="1:2" ht="13.95" customHeight="1" x14ac:dyDescent="0.25">
      <c r="A87" s="542" t="s">
        <v>159</v>
      </c>
      <c r="B87" s="645">
        <f ca="1">VLOOKUP($A87,Data!$C$2:$H$384,6,FALSE)</f>
        <v>0</v>
      </c>
    </row>
    <row r="88" spans="1:2" ht="13.95" customHeight="1" x14ac:dyDescent="0.25">
      <c r="A88" s="542" t="s">
        <v>160</v>
      </c>
      <c r="B88" s="645">
        <f ca="1">VLOOKUP($A88,Data!$C$2:$H$384,6,FALSE)</f>
        <v>0</v>
      </c>
    </row>
    <row r="89" spans="1:2" ht="13.95" customHeight="1" x14ac:dyDescent="0.25">
      <c r="A89" s="542" t="s">
        <v>161</v>
      </c>
      <c r="B89" s="645">
        <f ca="1">VLOOKUP($A89,Data!$C$2:$H$384,6,FALSE)</f>
        <v>0</v>
      </c>
    </row>
    <row r="90" spans="1:2" ht="13.95" customHeight="1" x14ac:dyDescent="0.25">
      <c r="A90" s="542" t="s">
        <v>162</v>
      </c>
      <c r="B90" s="645">
        <f ca="1">VLOOKUP($A90,Data!$C$2:$H$384,6,FALSE)</f>
        <v>0</v>
      </c>
    </row>
    <row r="91" spans="1:2" ht="13.95" customHeight="1" x14ac:dyDescent="0.25">
      <c r="A91" s="542" t="s">
        <v>163</v>
      </c>
      <c r="B91" s="645">
        <f ca="1">VLOOKUP($A91,Data!$C$2:$H$384,6,FALSE)</f>
        <v>0</v>
      </c>
    </row>
    <row r="92" spans="1:2" ht="13.95" customHeight="1" x14ac:dyDescent="0.25">
      <c r="A92" s="542" t="s">
        <v>164</v>
      </c>
      <c r="B92" s="645">
        <f ca="1">VLOOKUP($A92,Data!$C$2:$H$384,6,FALSE)</f>
        <v>0</v>
      </c>
    </row>
    <row r="93" spans="1:2" ht="13.95" customHeight="1" x14ac:dyDescent="0.25">
      <c r="A93" s="542" t="s">
        <v>166</v>
      </c>
      <c r="B93" s="645">
        <f ca="1">VLOOKUP($A93,Data!$C$2:$H$384,6,FALSE)</f>
        <v>0</v>
      </c>
    </row>
    <row r="94" spans="1:2" ht="13.95" customHeight="1" x14ac:dyDescent="0.25">
      <c r="A94" s="542" t="s">
        <v>964</v>
      </c>
      <c r="B94" s="645">
        <f ca="1">VLOOKUP($A94,Data!$C$2:$H$384,6,FALSE)</f>
        <v>0</v>
      </c>
    </row>
    <row r="95" spans="1:2" ht="13.95" customHeight="1" x14ac:dyDescent="0.25">
      <c r="A95" s="542" t="s">
        <v>168</v>
      </c>
      <c r="B95" s="645">
        <f ca="1">VLOOKUP($A95,Data!$C$2:$H$384,6,FALSE)</f>
        <v>0</v>
      </c>
    </row>
    <row r="96" spans="1:2" ht="13.95" customHeight="1" x14ac:dyDescent="0.25">
      <c r="A96" s="542" t="s">
        <v>169</v>
      </c>
      <c r="B96" s="645">
        <f ca="1">VLOOKUP($A96,Data!$C$2:$H$384,6,FALSE)</f>
        <v>0</v>
      </c>
    </row>
    <row r="97" spans="1:2" ht="13.95" customHeight="1" x14ac:dyDescent="0.25">
      <c r="A97" s="542" t="s">
        <v>170</v>
      </c>
      <c r="B97" s="645">
        <f ca="1">VLOOKUP($A97,Data!$C$2:$H$384,6,FALSE)</f>
        <v>0</v>
      </c>
    </row>
    <row r="98" spans="1:2" ht="13.95" customHeight="1" x14ac:dyDescent="0.25">
      <c r="A98" s="542" t="s">
        <v>171</v>
      </c>
      <c r="B98" s="645">
        <f ca="1">VLOOKUP($A98,Data!$C$2:$H$384,6,FALSE)</f>
        <v>0</v>
      </c>
    </row>
    <row r="99" spans="1:2" ht="13.95" customHeight="1" x14ac:dyDescent="0.25">
      <c r="A99" s="542" t="s">
        <v>172</v>
      </c>
      <c r="B99" s="645">
        <f ca="1">VLOOKUP($A99,Data!$C$2:$H$384,6,FALSE)</f>
        <v>0</v>
      </c>
    </row>
    <row r="100" spans="1:2" ht="13.95" customHeight="1" x14ac:dyDescent="0.25">
      <c r="A100" s="542" t="s">
        <v>173</v>
      </c>
      <c r="B100" s="645">
        <f ca="1">VLOOKUP($A100,Data!$C$2:$H$384,6,FALSE)</f>
        <v>0</v>
      </c>
    </row>
    <row r="101" spans="1:2" ht="13.95" customHeight="1" x14ac:dyDescent="0.25">
      <c r="A101" s="542" t="s">
        <v>174</v>
      </c>
      <c r="B101" s="645">
        <f ca="1">VLOOKUP($A101,Data!$C$2:$H$384,6,FALSE)</f>
        <v>0</v>
      </c>
    </row>
    <row r="102" spans="1:2" ht="13.95" customHeight="1" x14ac:dyDescent="0.25">
      <c r="A102" s="542" t="s">
        <v>965</v>
      </c>
      <c r="B102" s="645">
        <f ca="1">VLOOKUP($A102,Data!$C$2:$H$384,6,FALSE)</f>
        <v>0</v>
      </c>
    </row>
    <row r="103" spans="1:2" ht="13.95" customHeight="1" x14ac:dyDescent="0.25">
      <c r="A103" s="542" t="s">
        <v>966</v>
      </c>
      <c r="B103" s="645">
        <f ca="1">VLOOKUP($A103,Data!$C$2:$H$384,6,FALSE)</f>
        <v>0</v>
      </c>
    </row>
    <row r="104" spans="1:2" ht="13.95" customHeight="1" x14ac:dyDescent="0.25">
      <c r="A104" s="542" t="s">
        <v>2609</v>
      </c>
      <c r="B104" s="645">
        <f ca="1">VLOOKUP($A104,Data!$C$2:$H$384,6,FALSE)</f>
        <v>0</v>
      </c>
    </row>
    <row r="105" spans="1:2" ht="13.95" customHeight="1" x14ac:dyDescent="0.25">
      <c r="A105" s="542" t="s">
        <v>967</v>
      </c>
      <c r="B105" s="645">
        <f ca="1">VLOOKUP($A105,Data!$C$2:$H$384,6,FALSE)</f>
        <v>0</v>
      </c>
    </row>
    <row r="106" spans="1:2" ht="13.95" customHeight="1" x14ac:dyDescent="0.25">
      <c r="A106" s="542" t="s">
        <v>968</v>
      </c>
      <c r="B106" s="645">
        <f ca="1">VLOOKUP($A106,Data!$C$2:$H$384,6,FALSE)</f>
        <v>0</v>
      </c>
    </row>
    <row r="107" spans="1:2" ht="13.95" customHeight="1" x14ac:dyDescent="0.25">
      <c r="A107" s="542" t="s">
        <v>969</v>
      </c>
      <c r="B107" s="645">
        <f ca="1">VLOOKUP($A107,Data!$C$2:$H$384,6,FALSE)</f>
        <v>0</v>
      </c>
    </row>
    <row r="108" spans="1:2" ht="13.95" customHeight="1" x14ac:dyDescent="0.25">
      <c r="A108" s="542" t="s">
        <v>970</v>
      </c>
      <c r="B108" s="645">
        <f ca="1">VLOOKUP($A108,Data!$C$2:$H$384,6,FALSE)</f>
        <v>0</v>
      </c>
    </row>
    <row r="109" spans="1:2" ht="13.95" customHeight="1" x14ac:dyDescent="0.25">
      <c r="A109" s="542" t="s">
        <v>971</v>
      </c>
      <c r="B109" s="645">
        <f ca="1">VLOOKUP($A109,Data!$C$2:$H$384,6,FALSE)</f>
        <v>0</v>
      </c>
    </row>
    <row r="110" spans="1:2" ht="13.95" customHeight="1" x14ac:dyDescent="0.25">
      <c r="A110" s="542" t="s">
        <v>972</v>
      </c>
      <c r="B110" s="645">
        <f ca="1">VLOOKUP($A110,Data!$C$2:$H$384,6,FALSE)</f>
        <v>0</v>
      </c>
    </row>
    <row r="111" spans="1:2" ht="13.95" customHeight="1" x14ac:dyDescent="0.25">
      <c r="A111" s="542" t="s">
        <v>303</v>
      </c>
      <c r="B111" s="645">
        <f ca="1">VLOOKUP($A111,Data!$C$2:$H$384,6,FALSE)</f>
        <v>0</v>
      </c>
    </row>
    <row r="112" spans="1:2" ht="13.95" customHeight="1" x14ac:dyDescent="0.25">
      <c r="A112" s="542" t="s">
        <v>304</v>
      </c>
      <c r="B112" s="645">
        <f ca="1">VLOOKUP($A112,Data!$C$2:$H$384,6,FALSE)</f>
        <v>0</v>
      </c>
    </row>
    <row r="113" spans="1:2" ht="13.95" customHeight="1" x14ac:dyDescent="0.25">
      <c r="A113" s="542" t="s">
        <v>305</v>
      </c>
      <c r="B113" s="645">
        <f ca="1">VLOOKUP($A113,Data!$C$2:$H$384,6,FALSE)</f>
        <v>0</v>
      </c>
    </row>
    <row r="114" spans="1:2" ht="13.95" customHeight="1" x14ac:dyDescent="0.25">
      <c r="A114" s="542" t="s">
        <v>306</v>
      </c>
      <c r="B114" s="645">
        <f ca="1">VLOOKUP($A114,Data!$C$2:$H$384,6,FALSE)</f>
        <v>0</v>
      </c>
    </row>
    <row r="115" spans="1:2" ht="13.95" customHeight="1" x14ac:dyDescent="0.25">
      <c r="A115" s="542" t="s">
        <v>307</v>
      </c>
      <c r="B115" s="645">
        <f ca="1">VLOOKUP($A115,Data!$C$2:$H$384,6,FALSE)</f>
        <v>0</v>
      </c>
    </row>
    <row r="116" spans="1:2" ht="13.95" customHeight="1" x14ac:dyDescent="0.25">
      <c r="A116" s="542" t="s">
        <v>308</v>
      </c>
      <c r="B116" s="645">
        <f ca="1">VLOOKUP($A116,Data!$C$2:$H$384,6,FALSE)</f>
        <v>0</v>
      </c>
    </row>
    <row r="117" spans="1:2" ht="13.95" customHeight="1" x14ac:dyDescent="0.25">
      <c r="A117" s="542" t="s">
        <v>309</v>
      </c>
      <c r="B117" s="645">
        <f ca="1">VLOOKUP($A117,Data!$C$2:$H$384,6,FALSE)</f>
        <v>0</v>
      </c>
    </row>
    <row r="118" spans="1:2" ht="13.95" customHeight="1" x14ac:dyDescent="0.25">
      <c r="A118" s="542" t="s">
        <v>310</v>
      </c>
      <c r="B118" s="645">
        <f ca="1">VLOOKUP($A118,Data!$C$2:$H$384,6,FALSE)</f>
        <v>0</v>
      </c>
    </row>
    <row r="119" spans="1:2" ht="13.95" customHeight="1" x14ac:dyDescent="0.25">
      <c r="A119" s="542" t="s">
        <v>311</v>
      </c>
      <c r="B119" s="645">
        <f ca="1">VLOOKUP($A119,Data!$C$2:$H$384,6,FALSE)</f>
        <v>0</v>
      </c>
    </row>
    <row r="120" spans="1:2" ht="13.95" customHeight="1" x14ac:dyDescent="0.25">
      <c r="A120" s="542" t="s">
        <v>992</v>
      </c>
      <c r="B120" s="645">
        <f ca="1">VLOOKUP($A120,Data!$C$2:$H$384,6,FALSE)</f>
        <v>0</v>
      </c>
    </row>
    <row r="121" spans="1:2" ht="13.95" customHeight="1" x14ac:dyDescent="0.25">
      <c r="A121" s="542" t="s">
        <v>2610</v>
      </c>
      <c r="B121" s="645">
        <f ca="1">VLOOKUP($A121,Data!$C$2:$H$384,6,FALSE)</f>
        <v>0</v>
      </c>
    </row>
    <row r="122" spans="1:2" ht="13.95" customHeight="1" x14ac:dyDescent="0.25">
      <c r="A122" s="542" t="s">
        <v>312</v>
      </c>
      <c r="B122" s="645">
        <f ca="1">VLOOKUP($A122,Data!$C$2:$H$384,6,FALSE)</f>
        <v>0</v>
      </c>
    </row>
    <row r="123" spans="1:2" ht="13.95" customHeight="1" x14ac:dyDescent="0.25">
      <c r="A123" s="542" t="s">
        <v>313</v>
      </c>
      <c r="B123" s="645">
        <f ca="1">VLOOKUP($A123,Data!$C$2:$H$384,6,FALSE)</f>
        <v>0</v>
      </c>
    </row>
    <row r="124" spans="1:2" ht="13.95" customHeight="1" x14ac:dyDescent="0.25">
      <c r="A124" s="542" t="s">
        <v>314</v>
      </c>
      <c r="B124" s="645">
        <f ca="1">VLOOKUP($A124,Data!$C$2:$H$384,6,FALSE)</f>
        <v>0</v>
      </c>
    </row>
    <row r="125" spans="1:2" ht="13.95" customHeight="1" x14ac:dyDescent="0.25">
      <c r="A125" s="542" t="s">
        <v>993</v>
      </c>
      <c r="B125" s="645">
        <f ca="1">VLOOKUP($A125,Data!$C$2:$H$384,6,FALSE)</f>
        <v>0</v>
      </c>
    </row>
    <row r="126" spans="1:2" ht="13.95" customHeight="1" x14ac:dyDescent="0.25">
      <c r="A126" s="542" t="s">
        <v>994</v>
      </c>
      <c r="B126" s="645">
        <f ca="1">VLOOKUP($A126,Data!$C$2:$H$384,6,FALSE)</f>
        <v>0</v>
      </c>
    </row>
    <row r="127" spans="1:2" ht="13.95" customHeight="1" x14ac:dyDescent="0.25">
      <c r="A127" s="542" t="s">
        <v>995</v>
      </c>
      <c r="B127" s="645">
        <f ca="1">VLOOKUP($A127,Data!$C$2:$H$384,6,FALSE)</f>
        <v>0</v>
      </c>
    </row>
    <row r="128" spans="1:2" ht="13.95" customHeight="1" x14ac:dyDescent="0.25">
      <c r="A128" s="542" t="s">
        <v>996</v>
      </c>
      <c r="B128" s="645">
        <f ca="1">VLOOKUP($A128,Data!$C$2:$H$384,6,FALSE)</f>
        <v>0</v>
      </c>
    </row>
    <row r="129" spans="1:2" ht="13.95" customHeight="1" x14ac:dyDescent="0.25">
      <c r="A129" s="542" t="s">
        <v>997</v>
      </c>
      <c r="B129" s="645">
        <f ca="1">VLOOKUP($A129,Data!$C$2:$H$384,6,FALSE)</f>
        <v>0</v>
      </c>
    </row>
    <row r="130" spans="1:2" ht="13.95" customHeight="1" x14ac:dyDescent="0.25">
      <c r="A130" s="542" t="s">
        <v>998</v>
      </c>
      <c r="B130" s="645">
        <f ca="1">VLOOKUP($A130,Data!$C$2:$H$384,6,FALSE)</f>
        <v>0</v>
      </c>
    </row>
    <row r="131" spans="1:2" ht="13.95" customHeight="1" x14ac:dyDescent="0.25">
      <c r="A131" s="542" t="s">
        <v>999</v>
      </c>
      <c r="B131" s="645">
        <f ca="1">VLOOKUP($A131,Data!$C$2:$H$384,6,FALSE)</f>
        <v>0</v>
      </c>
    </row>
    <row r="132" spans="1:2" ht="13.95" customHeight="1" x14ac:dyDescent="0.25">
      <c r="A132" s="542" t="s">
        <v>1000</v>
      </c>
      <c r="B132" s="645">
        <f ca="1">VLOOKUP($A132,Data!$C$2:$H$384,6,FALSE)</f>
        <v>0</v>
      </c>
    </row>
    <row r="133" spans="1:2" ht="13.95" customHeight="1" x14ac:dyDescent="0.25">
      <c r="A133" s="542" t="s">
        <v>1001</v>
      </c>
      <c r="B133" s="645">
        <f ca="1">VLOOKUP($A133,Data!$C$2:$H$384,6,FALSE)</f>
        <v>0</v>
      </c>
    </row>
    <row r="134" spans="1:2" ht="13.95" customHeight="1" x14ac:dyDescent="0.25">
      <c r="A134" s="542" t="s">
        <v>315</v>
      </c>
      <c r="B134" s="645">
        <f ca="1">VLOOKUP($A134,Data!$C$2:$H$384,6,FALSE)</f>
        <v>0</v>
      </c>
    </row>
    <row r="135" spans="1:2" ht="13.95" customHeight="1" x14ac:dyDescent="0.25">
      <c r="A135" s="542" t="s">
        <v>316</v>
      </c>
      <c r="B135" s="645">
        <f ca="1">VLOOKUP($A135,Data!$C$2:$H$384,6,FALSE)</f>
        <v>0</v>
      </c>
    </row>
    <row r="136" spans="1:2" ht="13.95" customHeight="1" x14ac:dyDescent="0.25">
      <c r="A136" s="542" t="s">
        <v>317</v>
      </c>
      <c r="B136" s="645">
        <f ca="1">VLOOKUP($A136,Data!$C$2:$H$384,6,FALSE)</f>
        <v>0</v>
      </c>
    </row>
    <row r="137" spans="1:2" ht="13.95" customHeight="1" x14ac:dyDescent="0.25">
      <c r="A137" s="542" t="s">
        <v>318</v>
      </c>
      <c r="B137" s="645">
        <f ca="1">VLOOKUP($A137,Data!$C$2:$H$384,6,FALSE)</f>
        <v>0</v>
      </c>
    </row>
    <row r="138" spans="1:2" ht="13.95" customHeight="1" x14ac:dyDescent="0.25">
      <c r="A138" s="542" t="s">
        <v>1002</v>
      </c>
      <c r="B138" s="645">
        <f ca="1">VLOOKUP($A138,Data!$C$2:$H$384,6,FALSE)</f>
        <v>0</v>
      </c>
    </row>
    <row r="139" spans="1:2" ht="13.95" customHeight="1" x14ac:dyDescent="0.25">
      <c r="A139" s="542" t="s">
        <v>1003</v>
      </c>
      <c r="B139" s="645">
        <f ca="1">VLOOKUP($A139,Data!$C$2:$H$384,6,FALSE)</f>
        <v>0</v>
      </c>
    </row>
    <row r="140" spans="1:2" ht="13.95" customHeight="1" x14ac:dyDescent="0.25">
      <c r="A140" s="542" t="s">
        <v>1004</v>
      </c>
      <c r="B140" s="645">
        <f ca="1">VLOOKUP($A140,Data!$C$2:$H$384,6,FALSE)</f>
        <v>0</v>
      </c>
    </row>
    <row r="141" spans="1:2" ht="13.95" customHeight="1" x14ac:dyDescent="0.25">
      <c r="A141" s="542" t="s">
        <v>1005</v>
      </c>
      <c r="B141" s="645">
        <f ca="1">VLOOKUP($A141,Data!$C$2:$H$384,6,FALSE)</f>
        <v>0</v>
      </c>
    </row>
    <row r="142" spans="1:2" ht="13.95" customHeight="1" x14ac:dyDescent="0.25">
      <c r="A142" s="542" t="s">
        <v>1006</v>
      </c>
      <c r="B142" s="645">
        <f ca="1">VLOOKUP($A142,Data!$C$2:$H$384,6,FALSE)</f>
        <v>0</v>
      </c>
    </row>
    <row r="143" spans="1:2" ht="13.95" customHeight="1" x14ac:dyDescent="0.25">
      <c r="A143" s="542" t="s">
        <v>1007</v>
      </c>
      <c r="B143" s="645">
        <f ca="1">VLOOKUP($A143,Data!$C$2:$H$384,6,FALSE)</f>
        <v>0</v>
      </c>
    </row>
    <row r="144" spans="1:2" ht="13.95" customHeight="1" x14ac:dyDescent="0.25">
      <c r="A144" s="542" t="s">
        <v>2611</v>
      </c>
      <c r="B144" s="645">
        <f ca="1">VLOOKUP($A144,Data!$C$2:$H$384,6,FALSE)</f>
        <v>0</v>
      </c>
    </row>
    <row r="145" spans="1:2" ht="13.95" customHeight="1" x14ac:dyDescent="0.25">
      <c r="A145" s="542" t="s">
        <v>2612</v>
      </c>
      <c r="B145" s="645">
        <f ca="1">VLOOKUP($A145,Data!$C$2:$H$384,6,FALSE)</f>
        <v>0</v>
      </c>
    </row>
    <row r="146" spans="1:2" ht="13.95" customHeight="1" x14ac:dyDescent="0.25">
      <c r="A146" s="542" t="s">
        <v>2613</v>
      </c>
      <c r="B146" s="645">
        <f ca="1">VLOOKUP($A146,Data!$C$2:$H$384,6,FALSE)</f>
        <v>0</v>
      </c>
    </row>
    <row r="147" spans="1:2" ht="13.95" customHeight="1" x14ac:dyDescent="0.25">
      <c r="A147" s="542" t="s">
        <v>319</v>
      </c>
      <c r="B147" s="645">
        <f ca="1">VLOOKUP($A147,Data!$C$2:$H$384,6,FALSE)</f>
        <v>0</v>
      </c>
    </row>
    <row r="148" spans="1:2" ht="13.95" customHeight="1" x14ac:dyDescent="0.25">
      <c r="A148" s="542" t="s">
        <v>320</v>
      </c>
      <c r="B148" s="645">
        <f ca="1">VLOOKUP($A148,Data!$C$2:$H$384,6,FALSE)</f>
        <v>0</v>
      </c>
    </row>
    <row r="149" spans="1:2" ht="13.95" customHeight="1" x14ac:dyDescent="0.25">
      <c r="A149" s="542" t="s">
        <v>321</v>
      </c>
      <c r="B149" s="645">
        <f ca="1">VLOOKUP($A149,Data!$C$2:$H$384,6,FALSE)</f>
        <v>0</v>
      </c>
    </row>
    <row r="150" spans="1:2" ht="13.95" customHeight="1" x14ac:dyDescent="0.25">
      <c r="A150" s="542" t="s">
        <v>322</v>
      </c>
      <c r="B150" s="645">
        <f ca="1">VLOOKUP($A150,Data!$C$2:$H$384,6,FALSE)</f>
        <v>0</v>
      </c>
    </row>
    <row r="151" spans="1:2" ht="13.95" customHeight="1" x14ac:dyDescent="0.25">
      <c r="A151" s="542" t="s">
        <v>323</v>
      </c>
      <c r="B151" s="645">
        <f ca="1">VLOOKUP($A151,Data!$C$2:$H$384,6,FALSE)</f>
        <v>0</v>
      </c>
    </row>
    <row r="152" spans="1:2" ht="13.95" customHeight="1" x14ac:dyDescent="0.25">
      <c r="A152" s="542" t="s">
        <v>324</v>
      </c>
      <c r="B152" s="645">
        <f ca="1">VLOOKUP($A152,Data!$C$2:$H$384,6,FALSE)</f>
        <v>0</v>
      </c>
    </row>
    <row r="153" spans="1:2" ht="13.95" customHeight="1" x14ac:dyDescent="0.25">
      <c r="A153" s="542" t="s">
        <v>325</v>
      </c>
      <c r="B153" s="645">
        <f ca="1">VLOOKUP($A153,Data!$C$2:$H$384,6,FALSE)</f>
        <v>0</v>
      </c>
    </row>
    <row r="154" spans="1:2" ht="13.95" customHeight="1" x14ac:dyDescent="0.25">
      <c r="A154" s="542" t="s">
        <v>326</v>
      </c>
      <c r="B154" s="645">
        <f ca="1">VLOOKUP($A154,Data!$C$2:$H$384,6,FALSE)</f>
        <v>0</v>
      </c>
    </row>
    <row r="155" spans="1:2" ht="13.95" customHeight="1" x14ac:dyDescent="0.25">
      <c r="A155" s="542" t="s">
        <v>329</v>
      </c>
      <c r="B155" s="645">
        <f ca="1">VLOOKUP($A155,Data!$C$2:$H$384,6,FALSE)</f>
        <v>0</v>
      </c>
    </row>
    <row r="156" spans="1:2" ht="13.95" customHeight="1" x14ac:dyDescent="0.25">
      <c r="A156" s="542" t="s">
        <v>330</v>
      </c>
      <c r="B156" s="645">
        <f ca="1">VLOOKUP($A156,Data!$C$2:$H$384,6,FALSE)</f>
        <v>0</v>
      </c>
    </row>
    <row r="157" spans="1:2" ht="13.95" customHeight="1" x14ac:dyDescent="0.25">
      <c r="A157" s="542" t="s">
        <v>331</v>
      </c>
      <c r="B157" s="645">
        <f ca="1">VLOOKUP($A157,Data!$C$2:$H$384,6,FALSE)</f>
        <v>0</v>
      </c>
    </row>
    <row r="158" spans="1:2" ht="13.95" customHeight="1" x14ac:dyDescent="0.25">
      <c r="A158" s="542" t="s">
        <v>332</v>
      </c>
      <c r="B158" s="645">
        <f ca="1">VLOOKUP($A158,Data!$C$2:$H$384,6,FALSE)</f>
        <v>0</v>
      </c>
    </row>
    <row r="159" spans="1:2" ht="13.95" customHeight="1" x14ac:dyDescent="0.25">
      <c r="A159" s="542" t="s">
        <v>333</v>
      </c>
      <c r="B159" s="645">
        <f ca="1">VLOOKUP($A159,Data!$C$2:$H$384,6,FALSE)</f>
        <v>0</v>
      </c>
    </row>
    <row r="160" spans="1:2" ht="13.95" customHeight="1" x14ac:dyDescent="0.25">
      <c r="A160" s="542" t="s">
        <v>334</v>
      </c>
      <c r="B160" s="645">
        <f ca="1">VLOOKUP($A160,Data!$C$2:$H$384,6,FALSE)</f>
        <v>0</v>
      </c>
    </row>
    <row r="161" spans="1:2" ht="13.95" customHeight="1" x14ac:dyDescent="0.25">
      <c r="A161" s="542" t="s">
        <v>335</v>
      </c>
      <c r="B161" s="645">
        <f ca="1">VLOOKUP($A161,Data!$C$2:$H$384,6,FALSE)</f>
        <v>0</v>
      </c>
    </row>
    <row r="162" spans="1:2" ht="13.95" customHeight="1" x14ac:dyDescent="0.25">
      <c r="A162" s="542" t="s">
        <v>1008</v>
      </c>
      <c r="B162" s="645">
        <f ca="1">VLOOKUP($A162,Data!$C$2:$H$384,6,FALSE)</f>
        <v>0</v>
      </c>
    </row>
    <row r="163" spans="1:2" ht="13.95" customHeight="1" x14ac:dyDescent="0.25">
      <c r="A163" s="542" t="s">
        <v>1009</v>
      </c>
      <c r="B163" s="645">
        <f ca="1">VLOOKUP($A163,Data!$C$2:$H$384,6,FALSE)</f>
        <v>0</v>
      </c>
    </row>
    <row r="164" spans="1:2" ht="13.95" customHeight="1" x14ac:dyDescent="0.25">
      <c r="A164" s="542" t="s">
        <v>1010</v>
      </c>
      <c r="B164" s="645">
        <f ca="1">VLOOKUP($A164,Data!$C$2:$H$384,6,FALSE)</f>
        <v>0</v>
      </c>
    </row>
    <row r="165" spans="1:2" ht="13.95" customHeight="1" x14ac:dyDescent="0.25">
      <c r="A165" s="542" t="s">
        <v>1011</v>
      </c>
      <c r="B165" s="645">
        <f ca="1">VLOOKUP($A165,Data!$C$2:$H$384,6,FALSE)</f>
        <v>0</v>
      </c>
    </row>
    <row r="166" spans="1:2" ht="13.95" customHeight="1" x14ac:dyDescent="0.25">
      <c r="A166" s="542" t="s">
        <v>1012</v>
      </c>
      <c r="B166" s="645">
        <f ca="1">VLOOKUP($A166,Data!$C$2:$H$384,6,FALSE)</f>
        <v>0</v>
      </c>
    </row>
    <row r="167" spans="1:2" ht="13.95" customHeight="1" x14ac:dyDescent="0.25">
      <c r="A167" s="542" t="s">
        <v>1013</v>
      </c>
      <c r="B167" s="645">
        <f ca="1">VLOOKUP($A167,Data!$C$2:$H$384,6,FALSE)</f>
        <v>0</v>
      </c>
    </row>
    <row r="168" spans="1:2" ht="13.95" customHeight="1" x14ac:dyDescent="0.25">
      <c r="A168" s="542" t="s">
        <v>1014</v>
      </c>
      <c r="B168" s="645">
        <f ca="1">VLOOKUP($A168,Data!$C$2:$H$384,6,FALSE)</f>
        <v>0</v>
      </c>
    </row>
    <row r="169" spans="1:2" ht="13.95" customHeight="1" x14ac:dyDescent="0.25">
      <c r="A169" s="542" t="s">
        <v>86</v>
      </c>
      <c r="B169" s="645">
        <f ca="1">VLOOKUP($A169,Data!$C$2:$H$384,6,FALSE)</f>
        <v>0</v>
      </c>
    </row>
    <row r="170" spans="1:2" ht="13.95" customHeight="1" x14ac:dyDescent="0.25">
      <c r="A170" s="542" t="s">
        <v>88</v>
      </c>
      <c r="B170" s="645">
        <f ca="1">VLOOKUP($A170,Data!$C$2:$H$384,6,FALSE)</f>
        <v>0</v>
      </c>
    </row>
    <row r="171" spans="1:2" ht="13.95" customHeight="1" x14ac:dyDescent="0.25">
      <c r="A171" s="542" t="s">
        <v>89</v>
      </c>
      <c r="B171" s="645">
        <f ca="1">VLOOKUP($A171,Data!$C$2:$H$384,6,FALSE)</f>
        <v>0</v>
      </c>
    </row>
    <row r="172" spans="1:2" ht="13.95" customHeight="1" x14ac:dyDescent="0.25">
      <c r="A172" s="542" t="s">
        <v>91</v>
      </c>
      <c r="B172" s="645">
        <f ca="1">VLOOKUP($A172,Data!$C$2:$H$384,6,FALSE)</f>
        <v>0</v>
      </c>
    </row>
    <row r="173" spans="1:2" ht="13.95" customHeight="1" x14ac:dyDescent="0.25">
      <c r="A173" s="542" t="s">
        <v>93</v>
      </c>
      <c r="B173" s="645">
        <f ca="1">VLOOKUP($A173,Data!$C$2:$H$384,6,FALSE)</f>
        <v>0</v>
      </c>
    </row>
    <row r="174" spans="1:2" ht="13.95" customHeight="1" x14ac:dyDescent="0.25">
      <c r="A174" s="542" t="s">
        <v>95</v>
      </c>
      <c r="B174" s="645">
        <f ca="1">VLOOKUP($A174,Data!$C$2:$H$384,6,FALSE)</f>
        <v>0</v>
      </c>
    </row>
    <row r="175" spans="1:2" ht="13.95" customHeight="1" x14ac:dyDescent="0.25">
      <c r="A175" s="542" t="s">
        <v>939</v>
      </c>
      <c r="B175" s="645">
        <f ca="1">VLOOKUP($A175,Data!$C$2:$H$384,6,FALSE)</f>
        <v>0</v>
      </c>
    </row>
    <row r="176" spans="1:2" ht="13.95" customHeight="1" x14ac:dyDescent="0.25">
      <c r="A176" s="542" t="s">
        <v>940</v>
      </c>
      <c r="B176" s="645">
        <f ca="1">VLOOKUP($A176,Data!$C$2:$H$384,6,FALSE)</f>
        <v>0</v>
      </c>
    </row>
    <row r="177" spans="1:2" ht="13.95" customHeight="1" x14ac:dyDescent="0.25">
      <c r="A177" s="542" t="s">
        <v>97</v>
      </c>
      <c r="B177" s="645">
        <f ca="1">VLOOKUP($A177,Data!$C$2:$H$384,6,FALSE)</f>
        <v>0</v>
      </c>
    </row>
    <row r="178" spans="1:2" ht="13.95" customHeight="1" x14ac:dyDescent="0.25">
      <c r="A178" s="542" t="s">
        <v>98</v>
      </c>
      <c r="B178" s="645">
        <f ca="1">VLOOKUP($A178,Data!$C$2:$H$384,6,FALSE)</f>
        <v>0</v>
      </c>
    </row>
    <row r="179" spans="1:2" ht="13.95" customHeight="1" x14ac:dyDescent="0.25">
      <c r="A179" s="542" t="s">
        <v>99</v>
      </c>
      <c r="B179" s="645">
        <f ca="1">VLOOKUP($A179,Data!$C$2:$H$384,6,FALSE)</f>
        <v>0</v>
      </c>
    </row>
    <row r="180" spans="1:2" ht="13.95" customHeight="1" x14ac:dyDescent="0.25">
      <c r="A180" s="542" t="s">
        <v>100</v>
      </c>
      <c r="B180" s="645">
        <f ca="1">VLOOKUP($A180,Data!$C$2:$H$384,6,FALSE)</f>
        <v>0</v>
      </c>
    </row>
    <row r="181" spans="1:2" ht="13.95" customHeight="1" x14ac:dyDescent="0.25">
      <c r="A181" s="542" t="s">
        <v>101</v>
      </c>
      <c r="B181" s="645">
        <f ca="1">VLOOKUP($A181,Data!$C$2:$H$384,6,FALSE)</f>
        <v>0</v>
      </c>
    </row>
    <row r="182" spans="1:2" ht="13.95" customHeight="1" x14ac:dyDescent="0.25">
      <c r="A182" s="542" t="s">
        <v>102</v>
      </c>
      <c r="B182" s="645">
        <f ca="1">VLOOKUP($A182,Data!$C$2:$H$384,6,FALSE)</f>
        <v>0</v>
      </c>
    </row>
    <row r="183" spans="1:2" ht="13.95" customHeight="1" x14ac:dyDescent="0.25">
      <c r="A183" s="542" t="s">
        <v>942</v>
      </c>
      <c r="B183" s="645">
        <f ca="1">VLOOKUP($A183,Data!$C$2:$H$384,6,FALSE)</f>
        <v>0</v>
      </c>
    </row>
    <row r="184" spans="1:2" ht="13.95" customHeight="1" x14ac:dyDescent="0.25">
      <c r="A184" s="542" t="s">
        <v>943</v>
      </c>
      <c r="B184" s="645">
        <f ca="1">VLOOKUP($A184,Data!$C$2:$H$384,6,FALSE)</f>
        <v>0</v>
      </c>
    </row>
    <row r="185" spans="1:2" ht="13.95" customHeight="1" x14ac:dyDescent="0.25">
      <c r="A185" s="542" t="s">
        <v>105</v>
      </c>
      <c r="B185" s="645">
        <f ca="1">VLOOKUP($A185,Data!$C$2:$H$384,6,FALSE)</f>
        <v>0</v>
      </c>
    </row>
    <row r="186" spans="1:2" ht="13.95" customHeight="1" x14ac:dyDescent="0.25">
      <c r="A186" s="542" t="s">
        <v>107</v>
      </c>
      <c r="B186" s="645">
        <f ca="1">VLOOKUP($A186,Data!$C$2:$H$384,6,FALSE)</f>
        <v>0</v>
      </c>
    </row>
    <row r="187" spans="1:2" ht="13.95" customHeight="1" x14ac:dyDescent="0.25">
      <c r="A187" s="542" t="s">
        <v>109</v>
      </c>
      <c r="B187" s="645">
        <f ca="1">VLOOKUP($A187,Data!$C$2:$H$384,6,FALSE)</f>
        <v>0</v>
      </c>
    </row>
    <row r="188" spans="1:2" ht="13.95" customHeight="1" x14ac:dyDescent="0.25">
      <c r="A188" s="542" t="s">
        <v>111</v>
      </c>
      <c r="B188" s="645">
        <f ca="1">VLOOKUP($A188,Data!$C$2:$H$384,6,FALSE)</f>
        <v>0</v>
      </c>
    </row>
    <row r="189" spans="1:2" ht="13.95" customHeight="1" x14ac:dyDescent="0.25">
      <c r="A189" s="542" t="s">
        <v>113</v>
      </c>
      <c r="B189" s="645">
        <f ca="1">VLOOKUP($A189,Data!$C$2:$H$384,6,FALSE)</f>
        <v>0</v>
      </c>
    </row>
    <row r="190" spans="1:2" ht="13.95" customHeight="1" x14ac:dyDescent="0.25">
      <c r="A190" s="542" t="s">
        <v>116</v>
      </c>
      <c r="B190" s="645">
        <f ca="1">VLOOKUP($A190,Data!$C$2:$H$384,6,FALSE)</f>
        <v>0</v>
      </c>
    </row>
    <row r="191" spans="1:2" ht="13.95" customHeight="1" x14ac:dyDescent="0.25">
      <c r="A191" s="542" t="s">
        <v>119</v>
      </c>
      <c r="B191" s="645">
        <f ca="1">VLOOKUP($A191,Data!$C$2:$H$384,6,FALSE)</f>
        <v>0</v>
      </c>
    </row>
    <row r="192" spans="1:2" ht="13.95" customHeight="1" x14ac:dyDescent="0.25">
      <c r="A192" s="542" t="s">
        <v>122</v>
      </c>
      <c r="B192" s="645">
        <f ca="1">VLOOKUP($A192,Data!$C$2:$H$384,6,FALSE)</f>
        <v>0</v>
      </c>
    </row>
    <row r="193" spans="1:2" ht="13.95" customHeight="1" x14ac:dyDescent="0.25">
      <c r="A193" s="542" t="s">
        <v>125</v>
      </c>
      <c r="B193" s="645">
        <f ca="1">VLOOKUP($A193,Data!$C$2:$H$384,6,FALSE)</f>
        <v>0</v>
      </c>
    </row>
    <row r="194" spans="1:2" ht="13.95" customHeight="1" x14ac:dyDescent="0.25">
      <c r="A194" s="542" t="s">
        <v>128</v>
      </c>
      <c r="B194" s="645">
        <f ca="1">VLOOKUP($A194,Data!$C$2:$H$384,6,FALSE)</f>
        <v>0</v>
      </c>
    </row>
    <row r="195" spans="1:2" ht="13.95" customHeight="1" x14ac:dyDescent="0.25">
      <c r="A195" s="542" t="s">
        <v>130</v>
      </c>
      <c r="B195" s="645">
        <f ca="1">VLOOKUP($A195,Data!$C$2:$H$384,6,FALSE)</f>
        <v>0</v>
      </c>
    </row>
    <row r="196" spans="1:2" ht="13.95" customHeight="1" x14ac:dyDescent="0.25">
      <c r="A196" s="542" t="s">
        <v>2614</v>
      </c>
      <c r="B196" s="645">
        <f ca="1">VLOOKUP($A196,Data!$C$2:$H$384,6,FALSE)</f>
        <v>0</v>
      </c>
    </row>
    <row r="197" spans="1:2" ht="13.95" customHeight="1" x14ac:dyDescent="0.25">
      <c r="A197" s="542" t="s">
        <v>2615</v>
      </c>
      <c r="B197" s="645">
        <f ca="1">VLOOKUP($A197,Data!$C$2:$H$384,6,FALSE)</f>
        <v>0</v>
      </c>
    </row>
    <row r="198" spans="1:2" ht="13.95" customHeight="1" x14ac:dyDescent="0.25">
      <c r="A198" s="542" t="s">
        <v>2616</v>
      </c>
      <c r="B198" s="645">
        <f ca="1">VLOOKUP($A198,Data!$C$2:$H$384,6,FALSE)</f>
        <v>0</v>
      </c>
    </row>
    <row r="199" spans="1:2" ht="13.95" customHeight="1" x14ac:dyDescent="0.25">
      <c r="A199" s="542" t="s">
        <v>133</v>
      </c>
      <c r="B199" s="645">
        <f ca="1">VLOOKUP($A199,Data!$C$2:$H$384,6,FALSE)</f>
        <v>0</v>
      </c>
    </row>
    <row r="200" spans="1:2" ht="13.95" customHeight="1" x14ac:dyDescent="0.25">
      <c r="A200" s="542" t="s">
        <v>136</v>
      </c>
      <c r="B200" s="645">
        <f ca="1">VLOOKUP($A200,Data!$C$2:$H$384,6,FALSE)</f>
        <v>0</v>
      </c>
    </row>
    <row r="201" spans="1:2" ht="13.95" customHeight="1" x14ac:dyDescent="0.25">
      <c r="A201" s="542" t="s">
        <v>139</v>
      </c>
      <c r="B201" s="645">
        <f ca="1">VLOOKUP($A201,Data!$C$2:$H$384,6,FALSE)</f>
        <v>0</v>
      </c>
    </row>
    <row r="202" spans="1:2" ht="13.95" customHeight="1" x14ac:dyDescent="0.25">
      <c r="A202" s="542" t="s">
        <v>141</v>
      </c>
      <c r="B202" s="645">
        <f ca="1">VLOOKUP($A202,Data!$C$2:$H$384,6,FALSE)</f>
        <v>0</v>
      </c>
    </row>
    <row r="203" spans="1:2" ht="13.95" customHeight="1" x14ac:dyDescent="0.25">
      <c r="A203" s="542" t="s">
        <v>143</v>
      </c>
      <c r="B203" s="645">
        <f ca="1">VLOOKUP($A203,Data!$C$2:$H$384,6,FALSE)</f>
        <v>0</v>
      </c>
    </row>
    <row r="204" spans="1:2" ht="13.95" customHeight="1" x14ac:dyDescent="0.25">
      <c r="A204" s="542" t="s">
        <v>145</v>
      </c>
      <c r="B204" s="645">
        <f ca="1">VLOOKUP($A204,Data!$C$2:$H$384,6,FALSE)</f>
        <v>0</v>
      </c>
    </row>
    <row r="205" spans="1:2" ht="13.95" customHeight="1" x14ac:dyDescent="0.25">
      <c r="A205" s="542" t="s">
        <v>362</v>
      </c>
      <c r="B205" s="645">
        <f ca="1">VLOOKUP($A205,Data!$C$2:$H$384,6,FALSE)</f>
        <v>0</v>
      </c>
    </row>
    <row r="206" spans="1:2" ht="13.95" customHeight="1" x14ac:dyDescent="0.25">
      <c r="A206" s="542" t="s">
        <v>363</v>
      </c>
      <c r="B206" s="645">
        <f ca="1">VLOOKUP($A206,Data!$C$2:$H$384,6,FALSE)</f>
        <v>0</v>
      </c>
    </row>
    <row r="207" spans="1:2" ht="13.95" customHeight="1" x14ac:dyDescent="0.25">
      <c r="A207" s="542" t="s">
        <v>364</v>
      </c>
      <c r="B207" s="645">
        <f ca="1">VLOOKUP($A207,Data!$C$2:$H$384,6,FALSE)</f>
        <v>0</v>
      </c>
    </row>
    <row r="208" spans="1:2" ht="13.95" customHeight="1" x14ac:dyDescent="0.25">
      <c r="A208" s="542" t="s">
        <v>365</v>
      </c>
      <c r="B208" s="645">
        <f ca="1">VLOOKUP($A208,Data!$C$2:$H$384,6,FALSE)</f>
        <v>0</v>
      </c>
    </row>
    <row r="209" spans="1:2" ht="13.95" customHeight="1" x14ac:dyDescent="0.25">
      <c r="A209" s="542" t="s">
        <v>366</v>
      </c>
      <c r="B209" s="645">
        <f ca="1">VLOOKUP($A209,Data!$C$2:$H$384,6,FALSE)</f>
        <v>0</v>
      </c>
    </row>
    <row r="210" spans="1:2" ht="13.95" customHeight="1" x14ac:dyDescent="0.25">
      <c r="A210" s="542" t="s">
        <v>367</v>
      </c>
      <c r="B210" s="645">
        <f ca="1">VLOOKUP($A210,Data!$C$2:$H$384,6,FALSE)</f>
        <v>0</v>
      </c>
    </row>
    <row r="211" spans="1:2" ht="13.95" customHeight="1" x14ac:dyDescent="0.25">
      <c r="A211" s="542" t="s">
        <v>368</v>
      </c>
      <c r="B211" s="645">
        <f ca="1">VLOOKUP($A211,Data!$C$2:$H$384,6,FALSE)</f>
        <v>0</v>
      </c>
    </row>
    <row r="212" spans="1:2" ht="13.95" customHeight="1" x14ac:dyDescent="0.25">
      <c r="A212" s="542" t="s">
        <v>369</v>
      </c>
      <c r="B212" s="645">
        <f ca="1">VLOOKUP($A212,Data!$C$2:$H$384,6,FALSE)</f>
        <v>0</v>
      </c>
    </row>
    <row r="213" spans="1:2" ht="13.95" customHeight="1" x14ac:dyDescent="0.25">
      <c r="A213" s="542" t="s">
        <v>370</v>
      </c>
      <c r="B213" s="645">
        <f ca="1">VLOOKUP($A213,Data!$C$2:$H$384,6,FALSE)</f>
        <v>0</v>
      </c>
    </row>
    <row r="214" spans="1:2" ht="13.95" customHeight="1" x14ac:dyDescent="0.25">
      <c r="A214" s="542" t="s">
        <v>371</v>
      </c>
      <c r="B214" s="645">
        <f ca="1">VLOOKUP($A214,Data!$C$2:$H$384,6,FALSE)</f>
        <v>0</v>
      </c>
    </row>
    <row r="215" spans="1:2" ht="13.95" customHeight="1" x14ac:dyDescent="0.25">
      <c r="A215" s="542" t="s">
        <v>372</v>
      </c>
      <c r="B215" s="645">
        <f ca="1">VLOOKUP($A215,Data!$C$2:$H$384,6,FALSE)</f>
        <v>0</v>
      </c>
    </row>
    <row r="216" spans="1:2" ht="13.95" customHeight="1" x14ac:dyDescent="0.25">
      <c r="A216" s="542" t="s">
        <v>373</v>
      </c>
      <c r="B216" s="645">
        <f ca="1">VLOOKUP($A216,Data!$C$2:$H$384,6,FALSE)</f>
        <v>0</v>
      </c>
    </row>
    <row r="217" spans="1:2" ht="13.95" customHeight="1" x14ac:dyDescent="0.25">
      <c r="A217" s="542" t="s">
        <v>374</v>
      </c>
      <c r="B217" s="645">
        <f ca="1">VLOOKUP($A217,Data!$C$2:$H$384,6,FALSE)</f>
        <v>0</v>
      </c>
    </row>
    <row r="218" spans="1:2" ht="13.95" customHeight="1" x14ac:dyDescent="0.25">
      <c r="A218" s="542" t="s">
        <v>375</v>
      </c>
      <c r="B218" s="645">
        <f ca="1">VLOOKUP($A218,Data!$C$2:$H$384,6,FALSE)</f>
        <v>0</v>
      </c>
    </row>
    <row r="219" spans="1:2" ht="13.95" customHeight="1" x14ac:dyDescent="0.25">
      <c r="A219" s="542" t="s">
        <v>376</v>
      </c>
      <c r="B219" s="645">
        <f ca="1">VLOOKUP($A219,Data!$C$2:$H$384,6,FALSE)</f>
        <v>0</v>
      </c>
    </row>
    <row r="220" spans="1:2" ht="13.95" customHeight="1" x14ac:dyDescent="0.25">
      <c r="A220" s="542" t="s">
        <v>377</v>
      </c>
      <c r="B220" s="645">
        <f ca="1">VLOOKUP($A220,Data!$C$2:$H$384,6,FALSE)</f>
        <v>0</v>
      </c>
    </row>
    <row r="221" spans="1:2" ht="13.95" customHeight="1" x14ac:dyDescent="0.25">
      <c r="A221" s="542" t="s">
        <v>378</v>
      </c>
      <c r="B221" s="645">
        <f ca="1">VLOOKUP($A221,Data!$C$2:$H$384,6,FALSE)</f>
        <v>0</v>
      </c>
    </row>
    <row r="222" spans="1:2" ht="13.95" customHeight="1" x14ac:dyDescent="0.25">
      <c r="A222" s="542" t="s">
        <v>379</v>
      </c>
      <c r="B222" s="645">
        <f ca="1">VLOOKUP($A222,Data!$C$2:$H$384,6,FALSE)</f>
        <v>0</v>
      </c>
    </row>
    <row r="223" spans="1:2" ht="13.95" customHeight="1" x14ac:dyDescent="0.25">
      <c r="A223" s="542" t="s">
        <v>380</v>
      </c>
      <c r="B223" s="645">
        <f ca="1">VLOOKUP($A223,Data!$C$2:$H$384,6,FALSE)</f>
        <v>0</v>
      </c>
    </row>
    <row r="224" spans="1:2" ht="13.95" customHeight="1" x14ac:dyDescent="0.25">
      <c r="A224" s="542" t="s">
        <v>381</v>
      </c>
      <c r="B224" s="645">
        <f ca="1">VLOOKUP($A224,Data!$C$2:$H$384,6,FALSE)</f>
        <v>0</v>
      </c>
    </row>
    <row r="225" spans="1:2" ht="13.95" customHeight="1" x14ac:dyDescent="0.25">
      <c r="A225" s="542" t="s">
        <v>382</v>
      </c>
      <c r="B225" s="645">
        <f ca="1">VLOOKUP($A225,Data!$C$2:$H$384,6,FALSE)</f>
        <v>0</v>
      </c>
    </row>
    <row r="226" spans="1:2" ht="13.95" customHeight="1" x14ac:dyDescent="0.25">
      <c r="A226" s="542" t="s">
        <v>383</v>
      </c>
      <c r="B226" s="645">
        <f ca="1">VLOOKUP($A226,Data!$C$2:$H$384,6,FALSE)</f>
        <v>0</v>
      </c>
    </row>
    <row r="227" spans="1:2" ht="13.95" customHeight="1" x14ac:dyDescent="0.25">
      <c r="A227" s="542" t="s">
        <v>384</v>
      </c>
      <c r="B227" s="645">
        <f ca="1">VLOOKUP($A227,Data!$C$2:$H$384,6,FALSE)</f>
        <v>0</v>
      </c>
    </row>
    <row r="228" spans="1:2" ht="13.95" customHeight="1" x14ac:dyDescent="0.25">
      <c r="A228" s="542" t="s">
        <v>385</v>
      </c>
      <c r="B228" s="645">
        <f ca="1">VLOOKUP($A228,Data!$C$2:$H$384,6,FALSE)</f>
        <v>0</v>
      </c>
    </row>
    <row r="229" spans="1:2" ht="13.95" customHeight="1" x14ac:dyDescent="0.25">
      <c r="A229" s="542" t="s">
        <v>386</v>
      </c>
      <c r="B229" s="645">
        <f ca="1">VLOOKUP($A229,Data!$C$2:$H$384,6,FALSE)</f>
        <v>0</v>
      </c>
    </row>
    <row r="230" spans="1:2" ht="13.95" customHeight="1" x14ac:dyDescent="0.25">
      <c r="A230" s="542" t="s">
        <v>387</v>
      </c>
      <c r="B230" s="645">
        <f ca="1">VLOOKUP($A230,Data!$C$2:$H$384,6,FALSE)</f>
        <v>0</v>
      </c>
    </row>
    <row r="231" spans="1:2" ht="13.95" customHeight="1" x14ac:dyDescent="0.25">
      <c r="A231" s="542" t="s">
        <v>388</v>
      </c>
      <c r="B231" s="645">
        <f ca="1">VLOOKUP($A231,Data!$C$2:$H$384,6,FALSE)</f>
        <v>0</v>
      </c>
    </row>
    <row r="232" spans="1:2" ht="13.95" customHeight="1" x14ac:dyDescent="0.25">
      <c r="A232" s="542" t="s">
        <v>336</v>
      </c>
      <c r="B232" s="645">
        <f ca="1">VLOOKUP($A232,Data!$C$2:$H$384,6,FALSE)</f>
        <v>0</v>
      </c>
    </row>
    <row r="233" spans="1:2" ht="13.95" customHeight="1" x14ac:dyDescent="0.25">
      <c r="A233" s="542" t="s">
        <v>337</v>
      </c>
      <c r="B233" s="645">
        <f ca="1">VLOOKUP($A233,Data!$C$2:$H$384,6,FALSE)</f>
        <v>0</v>
      </c>
    </row>
    <row r="234" spans="1:2" ht="13.95" customHeight="1" x14ac:dyDescent="0.25">
      <c r="A234" s="542" t="s">
        <v>338</v>
      </c>
      <c r="B234" s="645">
        <f ca="1">VLOOKUP($A234,Data!$C$2:$H$384,6,FALSE)</f>
        <v>0</v>
      </c>
    </row>
    <row r="235" spans="1:2" ht="13.95" customHeight="1" x14ac:dyDescent="0.25">
      <c r="A235" s="542" t="s">
        <v>339</v>
      </c>
      <c r="B235" s="645">
        <f ca="1">VLOOKUP($A235,Data!$C$2:$H$384,6,FALSE)</f>
        <v>0</v>
      </c>
    </row>
    <row r="236" spans="1:2" ht="13.95" customHeight="1" x14ac:dyDescent="0.25">
      <c r="A236" s="542" t="s">
        <v>340</v>
      </c>
      <c r="B236" s="645">
        <f ca="1">VLOOKUP($A236,Data!$C$2:$H$384,6,FALSE)</f>
        <v>0</v>
      </c>
    </row>
    <row r="237" spans="1:2" ht="13.95" customHeight="1" x14ac:dyDescent="0.25">
      <c r="A237" s="542" t="s">
        <v>341</v>
      </c>
      <c r="B237" s="645">
        <f ca="1">VLOOKUP($A237,Data!$C$2:$H$384,6,FALSE)</f>
        <v>0</v>
      </c>
    </row>
    <row r="238" spans="1:2" ht="13.95" customHeight="1" x14ac:dyDescent="0.25">
      <c r="A238" s="542" t="s">
        <v>342</v>
      </c>
      <c r="B238" s="645">
        <f ca="1">VLOOKUP($A238,Data!$C$2:$H$384,6,FALSE)</f>
        <v>0</v>
      </c>
    </row>
    <row r="239" spans="1:2" ht="13.95" customHeight="1" x14ac:dyDescent="0.25">
      <c r="A239" s="542" t="s">
        <v>343</v>
      </c>
      <c r="B239" s="645">
        <f ca="1">VLOOKUP($A239,Data!$C$2:$H$384,6,FALSE)</f>
        <v>0</v>
      </c>
    </row>
    <row r="240" spans="1:2" ht="13.95" customHeight="1" x14ac:dyDescent="0.25">
      <c r="A240" s="542" t="s">
        <v>344</v>
      </c>
      <c r="B240" s="645">
        <f ca="1">VLOOKUP($A240,Data!$C$2:$H$384,6,FALSE)</f>
        <v>0</v>
      </c>
    </row>
    <row r="241" spans="1:2" ht="13.95" customHeight="1" x14ac:dyDescent="0.25">
      <c r="A241" s="542" t="s">
        <v>345</v>
      </c>
      <c r="B241" s="645">
        <f ca="1">VLOOKUP($A241,Data!$C$2:$H$384,6,FALSE)</f>
        <v>0</v>
      </c>
    </row>
    <row r="242" spans="1:2" ht="13.95" customHeight="1" x14ac:dyDescent="0.25">
      <c r="A242" s="542" t="s">
        <v>346</v>
      </c>
      <c r="B242" s="645">
        <f ca="1">VLOOKUP($A242,Data!$C$2:$H$384,6,FALSE)</f>
        <v>0</v>
      </c>
    </row>
    <row r="243" spans="1:2" ht="13.95" customHeight="1" x14ac:dyDescent="0.25">
      <c r="A243" s="542" t="s">
        <v>347</v>
      </c>
      <c r="B243" s="645">
        <f ca="1">VLOOKUP($A243,Data!$C$2:$H$384,6,FALSE)</f>
        <v>0</v>
      </c>
    </row>
    <row r="244" spans="1:2" ht="13.95" customHeight="1" x14ac:dyDescent="0.25">
      <c r="A244" s="542" t="s">
        <v>348</v>
      </c>
      <c r="B244" s="645">
        <f ca="1">VLOOKUP($A244,Data!$C$2:$H$384,6,FALSE)</f>
        <v>0</v>
      </c>
    </row>
    <row r="245" spans="1:2" ht="13.95" customHeight="1" x14ac:dyDescent="0.25">
      <c r="A245" s="542" t="s">
        <v>349</v>
      </c>
      <c r="B245" s="645">
        <f ca="1">VLOOKUP($A245,Data!$C$2:$H$384,6,FALSE)</f>
        <v>0</v>
      </c>
    </row>
    <row r="246" spans="1:2" ht="13.95" customHeight="1" x14ac:dyDescent="0.25">
      <c r="A246" s="542" t="s">
        <v>350</v>
      </c>
      <c r="B246" s="645">
        <f ca="1">VLOOKUP($A246,Data!$C$2:$H$384,6,FALSE)</f>
        <v>0</v>
      </c>
    </row>
    <row r="247" spans="1:2" ht="13.95" customHeight="1" x14ac:dyDescent="0.25">
      <c r="A247" s="542" t="s">
        <v>351</v>
      </c>
      <c r="B247" s="645">
        <f ca="1">VLOOKUP($A247,Data!$C$2:$H$384,6,FALSE)</f>
        <v>0</v>
      </c>
    </row>
    <row r="248" spans="1:2" ht="13.95" customHeight="1" x14ac:dyDescent="0.25">
      <c r="A248" s="542" t="s">
        <v>352</v>
      </c>
      <c r="B248" s="645">
        <f ca="1">VLOOKUP($A248,Data!$C$2:$H$384,6,FALSE)</f>
        <v>0</v>
      </c>
    </row>
    <row r="249" spans="1:2" ht="13.95" customHeight="1" x14ac:dyDescent="0.25">
      <c r="A249" s="542" t="s">
        <v>353</v>
      </c>
      <c r="B249" s="645">
        <f ca="1">VLOOKUP($A249,Data!$C$2:$H$384,6,FALSE)</f>
        <v>0</v>
      </c>
    </row>
    <row r="250" spans="1:2" ht="13.95" customHeight="1" x14ac:dyDescent="0.25">
      <c r="A250" s="542" t="s">
        <v>355</v>
      </c>
      <c r="B250" s="645">
        <f ca="1">VLOOKUP($A250,Data!$C$2:$H$384,6,FALSE)</f>
        <v>0</v>
      </c>
    </row>
    <row r="251" spans="1:2" ht="13.95" customHeight="1" x14ac:dyDescent="0.25">
      <c r="A251" s="542" t="s">
        <v>356</v>
      </c>
      <c r="B251" s="645">
        <f ca="1">VLOOKUP($A251,Data!$C$2:$H$384,6,FALSE)</f>
        <v>0</v>
      </c>
    </row>
    <row r="252" spans="1:2" ht="13.95" customHeight="1" x14ac:dyDescent="0.25">
      <c r="A252" s="542" t="s">
        <v>357</v>
      </c>
      <c r="B252" s="645">
        <f ca="1">VLOOKUP($A252,Data!$C$2:$H$384,6,FALSE)</f>
        <v>0</v>
      </c>
    </row>
    <row r="253" spans="1:2" ht="13.95" customHeight="1" x14ac:dyDescent="0.25">
      <c r="A253" s="542" t="s">
        <v>358</v>
      </c>
      <c r="B253" s="645">
        <f ca="1">VLOOKUP($A253,Data!$C$2:$H$384,6,FALSE)</f>
        <v>0</v>
      </c>
    </row>
    <row r="254" spans="1:2" ht="13.95" customHeight="1" x14ac:dyDescent="0.25">
      <c r="A254" s="542" t="s">
        <v>359</v>
      </c>
      <c r="B254" s="645">
        <f ca="1">VLOOKUP($A254,Data!$C$2:$H$384,6,FALSE)</f>
        <v>0</v>
      </c>
    </row>
    <row r="255" spans="1:2" ht="13.95" customHeight="1" x14ac:dyDescent="0.25">
      <c r="A255" s="542" t="s">
        <v>360</v>
      </c>
      <c r="B255" s="645">
        <f ca="1">VLOOKUP($A255,Data!$C$2:$H$384,6,FALSE)</f>
        <v>0</v>
      </c>
    </row>
    <row r="256" spans="1:2" ht="13.95" customHeight="1" x14ac:dyDescent="0.25">
      <c r="A256" s="542" t="s">
        <v>240</v>
      </c>
      <c r="B256" s="645">
        <f ca="1">VLOOKUP($A256,Data!$C$2:$H$384,6,FALSE)</f>
        <v>0</v>
      </c>
    </row>
    <row r="257" spans="1:2" ht="13.95" customHeight="1" x14ac:dyDescent="0.25">
      <c r="A257" s="542" t="s">
        <v>241</v>
      </c>
      <c r="B257" s="645">
        <f ca="1">VLOOKUP($A257,Data!$C$2:$H$384,6,FALSE)</f>
        <v>0</v>
      </c>
    </row>
    <row r="258" spans="1:2" ht="13.95" customHeight="1" x14ac:dyDescent="0.25">
      <c r="A258" s="542" t="s">
        <v>242</v>
      </c>
      <c r="B258" s="645">
        <f ca="1">VLOOKUP($A258,Data!$C$2:$H$384,6,FALSE)</f>
        <v>0</v>
      </c>
    </row>
    <row r="259" spans="1:2" ht="13.95" customHeight="1" x14ac:dyDescent="0.25">
      <c r="A259" s="542" t="s">
        <v>243</v>
      </c>
      <c r="B259" s="645">
        <f ca="1">VLOOKUP($A259,Data!$C$2:$H$384,6,FALSE)</f>
        <v>0</v>
      </c>
    </row>
    <row r="260" spans="1:2" ht="13.95" customHeight="1" x14ac:dyDescent="0.25">
      <c r="A260" s="542" t="s">
        <v>244</v>
      </c>
      <c r="B260" s="645">
        <f ca="1">VLOOKUP($A260,Data!$C$2:$H$384,6,FALSE)</f>
        <v>0</v>
      </c>
    </row>
    <row r="261" spans="1:2" ht="13.95" customHeight="1" x14ac:dyDescent="0.25">
      <c r="A261" s="542" t="s">
        <v>245</v>
      </c>
      <c r="B261" s="645">
        <f ca="1">VLOOKUP($A261,Data!$C$2:$H$384,6,FALSE)</f>
        <v>0</v>
      </c>
    </row>
    <row r="262" spans="1:2" ht="13.95" customHeight="1" x14ac:dyDescent="0.25">
      <c r="A262" s="542" t="s">
        <v>246</v>
      </c>
      <c r="B262" s="645">
        <f ca="1">VLOOKUP($A262,Data!$C$2:$H$384,6,FALSE)</f>
        <v>0</v>
      </c>
    </row>
    <row r="263" spans="1:2" ht="13.95" customHeight="1" x14ac:dyDescent="0.25">
      <c r="A263" s="542" t="s">
        <v>247</v>
      </c>
      <c r="B263" s="645">
        <f ca="1">VLOOKUP($A263,Data!$C$2:$H$384,6,FALSE)</f>
        <v>0</v>
      </c>
    </row>
    <row r="264" spans="1:2" ht="13.95" customHeight="1" x14ac:dyDescent="0.25">
      <c r="A264" s="542" t="s">
        <v>248</v>
      </c>
      <c r="B264" s="645">
        <f ca="1">VLOOKUP($A264,Data!$C$2:$H$384,6,FALSE)</f>
        <v>0</v>
      </c>
    </row>
    <row r="265" spans="1:2" ht="13.95" customHeight="1" x14ac:dyDescent="0.25">
      <c r="A265" s="542" t="s">
        <v>249</v>
      </c>
      <c r="B265" s="645">
        <f ca="1">VLOOKUP($A265,Data!$C$2:$H$384,6,FALSE)</f>
        <v>0</v>
      </c>
    </row>
    <row r="266" spans="1:2" ht="13.95" customHeight="1" x14ac:dyDescent="0.25">
      <c r="A266" s="542" t="s">
        <v>250</v>
      </c>
      <c r="B266" s="645">
        <f ca="1">VLOOKUP($A266,Data!$C$2:$H$384,6,FALSE)</f>
        <v>0</v>
      </c>
    </row>
    <row r="267" spans="1:2" ht="13.95" customHeight="1" x14ac:dyDescent="0.25">
      <c r="A267" s="542" t="s">
        <v>251</v>
      </c>
      <c r="B267" s="645">
        <f ca="1">VLOOKUP($A267,Data!$C$2:$H$384,6,FALSE)</f>
        <v>0</v>
      </c>
    </row>
    <row r="268" spans="1:2" ht="13.95" customHeight="1" x14ac:dyDescent="0.25">
      <c r="A268" s="542" t="s">
        <v>252</v>
      </c>
      <c r="B268" s="645">
        <f ca="1">VLOOKUP($A268,Data!$C$2:$H$384,6,FALSE)</f>
        <v>0</v>
      </c>
    </row>
    <row r="269" spans="1:2" ht="13.95" customHeight="1" x14ac:dyDescent="0.25">
      <c r="A269" s="542" t="s">
        <v>253</v>
      </c>
      <c r="B269" s="645">
        <f ca="1">VLOOKUP($A269,Data!$C$2:$H$384,6,FALSE)</f>
        <v>0</v>
      </c>
    </row>
    <row r="270" spans="1:2" ht="13.95" customHeight="1" x14ac:dyDescent="0.25">
      <c r="A270" s="542" t="s">
        <v>254</v>
      </c>
      <c r="B270" s="645">
        <f ca="1">VLOOKUP($A270,Data!$C$2:$H$384,6,FALSE)</f>
        <v>0</v>
      </c>
    </row>
    <row r="271" spans="1:2" ht="13.95" customHeight="1" x14ac:dyDescent="0.25">
      <c r="A271" s="542" t="s">
        <v>255</v>
      </c>
      <c r="B271" s="645">
        <f ca="1">VLOOKUP($A271,Data!$C$2:$H$384,6,FALSE)</f>
        <v>0</v>
      </c>
    </row>
    <row r="272" spans="1:2" ht="13.95" customHeight="1" x14ac:dyDescent="0.25">
      <c r="A272" s="542" t="s">
        <v>256</v>
      </c>
      <c r="B272" s="645">
        <f ca="1">VLOOKUP($A272,Data!$C$2:$H$384,6,FALSE)</f>
        <v>0</v>
      </c>
    </row>
    <row r="273" spans="1:2" ht="13.95" customHeight="1" x14ac:dyDescent="0.25">
      <c r="A273" s="542" t="s">
        <v>257</v>
      </c>
      <c r="B273" s="645">
        <f ca="1">VLOOKUP($A273,Data!$C$2:$H$384,6,FALSE)</f>
        <v>0</v>
      </c>
    </row>
    <row r="274" spans="1:2" ht="13.95" customHeight="1" x14ac:dyDescent="0.25">
      <c r="A274" s="542" t="s">
        <v>258</v>
      </c>
      <c r="B274" s="645">
        <f ca="1">VLOOKUP($A274,Data!$C$2:$H$384,6,FALSE)</f>
        <v>0</v>
      </c>
    </row>
    <row r="275" spans="1:2" ht="13.95" customHeight="1" x14ac:dyDescent="0.25">
      <c r="A275" s="542" t="s">
        <v>259</v>
      </c>
      <c r="B275" s="645">
        <f ca="1">VLOOKUP($A275,Data!$C$2:$H$384,6,FALSE)</f>
        <v>0</v>
      </c>
    </row>
    <row r="276" spans="1:2" ht="13.95" customHeight="1" x14ac:dyDescent="0.25">
      <c r="A276" s="542" t="s">
        <v>260</v>
      </c>
      <c r="B276" s="645">
        <f ca="1">VLOOKUP($A276,Data!$C$2:$H$384,6,FALSE)</f>
        <v>0</v>
      </c>
    </row>
    <row r="277" spans="1:2" ht="13.95" customHeight="1" x14ac:dyDescent="0.25">
      <c r="A277" s="542" t="s">
        <v>261</v>
      </c>
      <c r="B277" s="645">
        <f ca="1">VLOOKUP($A277,Data!$C$2:$H$384,6,FALSE)</f>
        <v>0</v>
      </c>
    </row>
    <row r="278" spans="1:2" ht="13.95" customHeight="1" x14ac:dyDescent="0.25">
      <c r="A278" s="542" t="s">
        <v>262</v>
      </c>
      <c r="B278" s="645">
        <f ca="1">VLOOKUP($A278,Data!$C$2:$H$384,6,FALSE)</f>
        <v>0</v>
      </c>
    </row>
    <row r="279" spans="1:2" ht="13.95" customHeight="1" x14ac:dyDescent="0.25">
      <c r="A279" s="542" t="s">
        <v>263</v>
      </c>
      <c r="B279" s="645">
        <f ca="1">VLOOKUP($A279,Data!$C$2:$H$384,6,FALSE)</f>
        <v>0</v>
      </c>
    </row>
    <row r="280" spans="1:2" ht="13.95" customHeight="1" x14ac:dyDescent="0.25">
      <c r="A280" s="542" t="s">
        <v>265</v>
      </c>
      <c r="B280" s="645">
        <f ca="1">VLOOKUP($A280,Data!$C$2:$H$384,6,FALSE)</f>
        <v>0</v>
      </c>
    </row>
    <row r="281" spans="1:2" ht="13.95" customHeight="1" x14ac:dyDescent="0.25">
      <c r="A281" s="542" t="s">
        <v>974</v>
      </c>
      <c r="B281" s="645">
        <f ca="1">VLOOKUP($A281,Data!$C$2:$H$384,6,FALSE)</f>
        <v>0</v>
      </c>
    </row>
    <row r="282" spans="1:2" ht="13.95" customHeight="1" x14ac:dyDescent="0.25">
      <c r="A282" s="542" t="s">
        <v>2617</v>
      </c>
      <c r="B282" s="645">
        <f ca="1">VLOOKUP($A282,Data!$C$2:$H$384,6,FALSE)</f>
        <v>0</v>
      </c>
    </row>
    <row r="283" spans="1:2" ht="13.95" customHeight="1" x14ac:dyDescent="0.25">
      <c r="A283" s="542" t="s">
        <v>267</v>
      </c>
      <c r="B283" s="645">
        <f ca="1">VLOOKUP($A283,Data!$C$2:$H$384,6,FALSE)</f>
        <v>0</v>
      </c>
    </row>
    <row r="284" spans="1:2" ht="13.95" customHeight="1" x14ac:dyDescent="0.25">
      <c r="A284" s="542" t="s">
        <v>268</v>
      </c>
      <c r="B284" s="645">
        <f ca="1">VLOOKUP($A284,Data!$C$2:$H$384,6,FALSE)</f>
        <v>0</v>
      </c>
    </row>
    <row r="285" spans="1:2" ht="13.95" customHeight="1" x14ac:dyDescent="0.25">
      <c r="A285" s="542" t="s">
        <v>269</v>
      </c>
      <c r="B285" s="645">
        <f ca="1">VLOOKUP($A285,Data!$C$2:$H$384,6,FALSE)</f>
        <v>0</v>
      </c>
    </row>
    <row r="286" spans="1:2" ht="13.95" customHeight="1" x14ac:dyDescent="0.25">
      <c r="A286" s="542" t="s">
        <v>270</v>
      </c>
      <c r="B286" s="645">
        <f ca="1">VLOOKUP($A286,Data!$C$2:$H$384,6,FALSE)</f>
        <v>0</v>
      </c>
    </row>
    <row r="287" spans="1:2" ht="13.95" customHeight="1" x14ac:dyDescent="0.25">
      <c r="A287" s="542" t="s">
        <v>271</v>
      </c>
      <c r="B287" s="645">
        <f ca="1">VLOOKUP($A287,Data!$C$2:$H$384,6,FALSE)</f>
        <v>0</v>
      </c>
    </row>
    <row r="288" spans="1:2" ht="13.95" customHeight="1" x14ac:dyDescent="0.25">
      <c r="A288" s="542" t="s">
        <v>272</v>
      </c>
      <c r="B288" s="645">
        <f ca="1">VLOOKUP($A288,Data!$C$2:$H$384,6,FALSE)</f>
        <v>0</v>
      </c>
    </row>
    <row r="289" spans="1:2" ht="13.95" customHeight="1" x14ac:dyDescent="0.25">
      <c r="A289" s="542" t="s">
        <v>273</v>
      </c>
      <c r="B289" s="645">
        <f ca="1">VLOOKUP($A289,Data!$C$2:$H$384,6,FALSE)</f>
        <v>0</v>
      </c>
    </row>
    <row r="290" spans="1:2" ht="13.95" customHeight="1" x14ac:dyDescent="0.25">
      <c r="A290" s="542" t="s">
        <v>975</v>
      </c>
      <c r="B290" s="645">
        <f ca="1">VLOOKUP($A290,Data!$C$2:$H$384,6,FALSE)</f>
        <v>0</v>
      </c>
    </row>
    <row r="291" spans="1:2" ht="13.95" customHeight="1" x14ac:dyDescent="0.25">
      <c r="A291" s="542" t="s">
        <v>976</v>
      </c>
      <c r="B291" s="645">
        <f ca="1">VLOOKUP($A291,Data!$C$2:$H$384,6,FALSE)</f>
        <v>0</v>
      </c>
    </row>
    <row r="292" spans="1:2" ht="13.95" customHeight="1" x14ac:dyDescent="0.25">
      <c r="A292" s="542" t="s">
        <v>977</v>
      </c>
      <c r="B292" s="645">
        <f ca="1">VLOOKUP($A292,Data!$C$2:$H$384,6,FALSE)</f>
        <v>0</v>
      </c>
    </row>
    <row r="293" spans="1:2" ht="13.95" customHeight="1" x14ac:dyDescent="0.25">
      <c r="A293" s="542" t="s">
        <v>978</v>
      </c>
      <c r="B293" s="645">
        <f ca="1">VLOOKUP($A293,Data!$C$2:$H$384,6,FALSE)</f>
        <v>0</v>
      </c>
    </row>
    <row r="294" spans="1:2" ht="13.95" customHeight="1" x14ac:dyDescent="0.25">
      <c r="A294" s="542" t="s">
        <v>979</v>
      </c>
      <c r="B294" s="645">
        <f ca="1">VLOOKUP($A294,Data!$C$2:$H$384,6,FALSE)</f>
        <v>0</v>
      </c>
    </row>
    <row r="295" spans="1:2" ht="13.95" customHeight="1" x14ac:dyDescent="0.25">
      <c r="A295" s="542" t="s">
        <v>980</v>
      </c>
      <c r="B295" s="645">
        <f ca="1">VLOOKUP($A295,Data!$C$2:$H$384,6,FALSE)</f>
        <v>0</v>
      </c>
    </row>
    <row r="296" spans="1:2" ht="13.95" customHeight="1" x14ac:dyDescent="0.25">
      <c r="A296" s="542" t="s">
        <v>981</v>
      </c>
      <c r="B296" s="645">
        <f ca="1">VLOOKUP($A296,Data!$C$2:$H$384,6,FALSE)</f>
        <v>0</v>
      </c>
    </row>
    <row r="297" spans="1:2" ht="13.95" customHeight="1" x14ac:dyDescent="0.25">
      <c r="A297" s="542" t="s">
        <v>982</v>
      </c>
      <c r="B297" s="645">
        <f ca="1">VLOOKUP($A297,Data!$C$2:$H$384,6,FALSE)</f>
        <v>0</v>
      </c>
    </row>
    <row r="298" spans="1:2" ht="13.95" customHeight="1" x14ac:dyDescent="0.25">
      <c r="A298" s="542" t="s">
        <v>983</v>
      </c>
      <c r="B298" s="645">
        <f ca="1">VLOOKUP($A298,Data!$C$2:$H$384,6,FALSE)</f>
        <v>0</v>
      </c>
    </row>
    <row r="299" spans="1:2" ht="13.95" customHeight="1" x14ac:dyDescent="0.25">
      <c r="A299" s="542" t="s">
        <v>985</v>
      </c>
      <c r="B299" s="645">
        <f ca="1">VLOOKUP($A299,Data!$C$2:$H$384,6,FALSE)</f>
        <v>0</v>
      </c>
    </row>
    <row r="300" spans="1:2" ht="13.95" customHeight="1" x14ac:dyDescent="0.25">
      <c r="A300" s="542" t="s">
        <v>986</v>
      </c>
      <c r="B300" s="645">
        <f ca="1">VLOOKUP($A300,Data!$C$2:$H$384,6,FALSE)</f>
        <v>0</v>
      </c>
    </row>
    <row r="301" spans="1:2" ht="13.95" customHeight="1" x14ac:dyDescent="0.25">
      <c r="A301" s="542" t="s">
        <v>987</v>
      </c>
      <c r="B301" s="645">
        <f ca="1">VLOOKUP($A301,Data!$C$2:$H$384,6,FALSE)</f>
        <v>0</v>
      </c>
    </row>
    <row r="302" spans="1:2" ht="13.95" customHeight="1" x14ac:dyDescent="0.25">
      <c r="A302" s="542" t="s">
        <v>988</v>
      </c>
      <c r="B302" s="645">
        <f ca="1">VLOOKUP($A302,Data!$C$2:$H$384,6,FALSE)</f>
        <v>0</v>
      </c>
    </row>
    <row r="303" spans="1:2" ht="13.95" customHeight="1" x14ac:dyDescent="0.25">
      <c r="A303" s="542" t="s">
        <v>989</v>
      </c>
      <c r="B303" s="645">
        <f ca="1">VLOOKUP($A303,Data!$C$2:$H$384,6,FALSE)</f>
        <v>0</v>
      </c>
    </row>
    <row r="304" spans="1:2" ht="13.95" customHeight="1" x14ac:dyDescent="0.25">
      <c r="A304" s="542" t="s">
        <v>990</v>
      </c>
      <c r="B304" s="645">
        <f ca="1">VLOOKUP($A304,Data!$C$2:$H$384,6,FALSE)</f>
        <v>0</v>
      </c>
    </row>
    <row r="305" spans="1:2" ht="13.95" customHeight="1" x14ac:dyDescent="0.25">
      <c r="A305" s="542" t="s">
        <v>41</v>
      </c>
      <c r="B305" s="645">
        <f ca="1">VLOOKUP($A305,Data!$C$2:$H$384,6,FALSE)</f>
        <v>0</v>
      </c>
    </row>
    <row r="306" spans="1:2" ht="13.95" customHeight="1" x14ac:dyDescent="0.25">
      <c r="A306" s="542" t="s">
        <v>42</v>
      </c>
      <c r="B306" s="645">
        <f ca="1">VLOOKUP($A306,Data!$C$2:$H$384,6,FALSE)</f>
        <v>0</v>
      </c>
    </row>
    <row r="307" spans="1:2" ht="13.95" customHeight="1" x14ac:dyDescent="0.25">
      <c r="A307" s="542" t="s">
        <v>43</v>
      </c>
      <c r="B307" s="645">
        <f ca="1">VLOOKUP($A307,Data!$C$2:$H$384,6,FALSE)</f>
        <v>0</v>
      </c>
    </row>
    <row r="308" spans="1:2" ht="13.95" customHeight="1" x14ac:dyDescent="0.25">
      <c r="A308" s="542" t="s">
        <v>45</v>
      </c>
      <c r="B308" s="645">
        <f ca="1">VLOOKUP($A308,Data!$C$2:$H$384,6,FALSE)</f>
        <v>0</v>
      </c>
    </row>
    <row r="309" spans="1:2" ht="13.95" customHeight="1" x14ac:dyDescent="0.25">
      <c r="A309" s="542" t="s">
        <v>47</v>
      </c>
      <c r="B309" s="645">
        <f ca="1">VLOOKUP($A309,Data!$C$2:$H$384,6,FALSE)</f>
        <v>0</v>
      </c>
    </row>
    <row r="310" spans="1:2" ht="13.95" customHeight="1" x14ac:dyDescent="0.25">
      <c r="A310" s="542" t="s">
        <v>49</v>
      </c>
      <c r="B310" s="645">
        <f ca="1">VLOOKUP($A310,Data!$C$2:$H$384,6,FALSE)</f>
        <v>0</v>
      </c>
    </row>
    <row r="311" spans="1:2" ht="13.95" customHeight="1" x14ac:dyDescent="0.25">
      <c r="A311" s="542" t="s">
        <v>51</v>
      </c>
      <c r="B311" s="645">
        <f ca="1">VLOOKUP($A311,Data!$C$2:$H$384,6,FALSE)</f>
        <v>0</v>
      </c>
    </row>
    <row r="312" spans="1:2" ht="13.95" customHeight="1" x14ac:dyDescent="0.25">
      <c r="A312" s="542" t="s">
        <v>53</v>
      </c>
      <c r="B312" s="645">
        <f ca="1">VLOOKUP($A312,Data!$C$2:$H$384,6,FALSE)</f>
        <v>0</v>
      </c>
    </row>
    <row r="313" spans="1:2" ht="13.95" customHeight="1" x14ac:dyDescent="0.25">
      <c r="A313" s="542" t="s">
        <v>58</v>
      </c>
      <c r="B313" s="645">
        <f ca="1">VLOOKUP($A313,Data!$C$2:$H$384,6,FALSE)</f>
        <v>0</v>
      </c>
    </row>
    <row r="314" spans="1:2" ht="13.95" customHeight="1" x14ac:dyDescent="0.25">
      <c r="A314" s="542" t="s">
        <v>60</v>
      </c>
      <c r="B314" s="645">
        <f ca="1">VLOOKUP($A314,Data!$C$2:$H$384,6,FALSE)</f>
        <v>0</v>
      </c>
    </row>
    <row r="315" spans="1:2" ht="13.95" customHeight="1" x14ac:dyDescent="0.25">
      <c r="A315" s="542" t="s">
        <v>62</v>
      </c>
      <c r="B315" s="645">
        <f ca="1">VLOOKUP($A315,Data!$C$2:$H$384,6,FALSE)</f>
        <v>0</v>
      </c>
    </row>
    <row r="316" spans="1:2" ht="13.95" customHeight="1" x14ac:dyDescent="0.25">
      <c r="A316" s="542" t="s">
        <v>65</v>
      </c>
      <c r="B316" s="645">
        <f ca="1">VLOOKUP($A316,Data!$C$2:$H$384,6,FALSE)</f>
        <v>0</v>
      </c>
    </row>
    <row r="317" spans="1:2" ht="13.95" customHeight="1" x14ac:dyDescent="0.25">
      <c r="A317" s="542" t="s">
        <v>68</v>
      </c>
      <c r="B317" s="645">
        <f ca="1">VLOOKUP($A317,Data!$C$2:$H$384,6,FALSE)</f>
        <v>0</v>
      </c>
    </row>
    <row r="318" spans="1:2" ht="13.95" customHeight="1" x14ac:dyDescent="0.25">
      <c r="A318" s="542" t="s">
        <v>945</v>
      </c>
      <c r="B318" s="645">
        <f ca="1">VLOOKUP($A318,Data!$C$2:$H$384,6,FALSE)</f>
        <v>0</v>
      </c>
    </row>
    <row r="319" spans="1:2" ht="13.95" customHeight="1" x14ac:dyDescent="0.25">
      <c r="A319" s="542" t="s">
        <v>946</v>
      </c>
      <c r="B319" s="645">
        <f ca="1">VLOOKUP($A319,Data!$C$2:$H$384,6,FALSE)</f>
        <v>0</v>
      </c>
    </row>
    <row r="320" spans="1:2" ht="13.95" customHeight="1" x14ac:dyDescent="0.25">
      <c r="A320" s="542" t="s">
        <v>947</v>
      </c>
      <c r="B320" s="645">
        <f ca="1">VLOOKUP($A320,Data!$C$2:$H$384,6,FALSE)</f>
        <v>0</v>
      </c>
    </row>
    <row r="321" spans="1:2" ht="13.95" customHeight="1" x14ac:dyDescent="0.25">
      <c r="A321" s="542" t="s">
        <v>948</v>
      </c>
      <c r="B321" s="645">
        <f ca="1">VLOOKUP($A321,Data!$C$2:$H$384,6,FALSE)</f>
        <v>0</v>
      </c>
    </row>
    <row r="322" spans="1:2" ht="13.95" customHeight="1" x14ac:dyDescent="0.25">
      <c r="A322" s="542" t="s">
        <v>949</v>
      </c>
      <c r="B322" s="645">
        <f ca="1">VLOOKUP($A322,Data!$C$2:$H$384,6,FALSE)</f>
        <v>0</v>
      </c>
    </row>
    <row r="323" spans="1:2" ht="13.95" customHeight="1" x14ac:dyDescent="0.25">
      <c r="A323" s="542" t="s">
        <v>950</v>
      </c>
      <c r="B323" s="645">
        <f ca="1">VLOOKUP($A323,Data!$C$2:$H$384,6,FALSE)</f>
        <v>0</v>
      </c>
    </row>
    <row r="324" spans="1:2" ht="13.95" customHeight="1" x14ac:dyDescent="0.25">
      <c r="A324" s="542" t="s">
        <v>951</v>
      </c>
      <c r="B324" s="645">
        <f ca="1">VLOOKUP($A324,Data!$C$2:$H$384,6,FALSE)</f>
        <v>0</v>
      </c>
    </row>
    <row r="325" spans="1:2" ht="13.95" customHeight="1" x14ac:dyDescent="0.25">
      <c r="A325" s="542" t="s">
        <v>952</v>
      </c>
      <c r="B325" s="645">
        <f ca="1">VLOOKUP($A325,Data!$C$2:$H$384,6,FALSE)</f>
        <v>0</v>
      </c>
    </row>
    <row r="326" spans="1:2" ht="13.95" customHeight="1" x14ac:dyDescent="0.25">
      <c r="A326" s="542" t="s">
        <v>70</v>
      </c>
      <c r="B326" s="645">
        <f ca="1">VLOOKUP($A326,Data!$C$2:$H$384,6,FALSE)</f>
        <v>0</v>
      </c>
    </row>
    <row r="327" spans="1:2" ht="13.95" customHeight="1" x14ac:dyDescent="0.25">
      <c r="A327" s="542" t="s">
        <v>72</v>
      </c>
      <c r="B327" s="645">
        <f ca="1">VLOOKUP($A327,Data!$C$2:$H$384,6,FALSE)</f>
        <v>0</v>
      </c>
    </row>
    <row r="328" spans="1:2" ht="13.95" customHeight="1" x14ac:dyDescent="0.25">
      <c r="A328" s="542" t="s">
        <v>75</v>
      </c>
      <c r="B328" s="645">
        <f ca="1">VLOOKUP($A328,Data!$C$2:$H$384,6,FALSE)</f>
        <v>0</v>
      </c>
    </row>
    <row r="329" spans="1:2" ht="13.95" customHeight="1" x14ac:dyDescent="0.25">
      <c r="A329" s="542" t="s">
        <v>78</v>
      </c>
      <c r="B329" s="645">
        <f ca="1">VLOOKUP($A329,Data!$C$2:$H$384,6,FALSE)</f>
        <v>0</v>
      </c>
    </row>
    <row r="330" spans="1:2" ht="13.95" customHeight="1" x14ac:dyDescent="0.25">
      <c r="A330" s="542" t="s">
        <v>80</v>
      </c>
      <c r="B330" s="645">
        <f ca="1">VLOOKUP($A330,Data!$C$2:$H$384,6,FALSE)</f>
        <v>0</v>
      </c>
    </row>
    <row r="331" spans="1:2" ht="13.95" customHeight="1" x14ac:dyDescent="0.25">
      <c r="A331" s="542" t="s">
        <v>82</v>
      </c>
      <c r="B331" s="645">
        <f ca="1">VLOOKUP($A331,Data!$C$2:$H$384,6,FALSE)</f>
        <v>0</v>
      </c>
    </row>
    <row r="332" spans="1:2" ht="13.95" customHeight="1" x14ac:dyDescent="0.25">
      <c r="A332" s="542" t="s">
        <v>84</v>
      </c>
      <c r="B332" s="645">
        <f ca="1">VLOOKUP($A332,Data!$C$2:$H$384,6,FALSE)</f>
        <v>0</v>
      </c>
    </row>
    <row r="333" spans="1:2" ht="13.95" customHeight="1" x14ac:dyDescent="0.25">
      <c r="A333" s="542" t="s">
        <v>953</v>
      </c>
      <c r="B333" s="645">
        <f ca="1">VLOOKUP($A333,Data!$C$2:$H$384,6,FALSE)</f>
        <v>0</v>
      </c>
    </row>
    <row r="334" spans="1:2" ht="13.95" customHeight="1" x14ac:dyDescent="0.25">
      <c r="A334" s="542" t="s">
        <v>954</v>
      </c>
      <c r="B334" s="645">
        <f ca="1">VLOOKUP($A334,Data!$C$2:$H$384,6,FALSE)</f>
        <v>0</v>
      </c>
    </row>
    <row r="335" spans="1:2" ht="13.95" customHeight="1" x14ac:dyDescent="0.25">
      <c r="A335" s="542" t="s">
        <v>955</v>
      </c>
      <c r="B335" s="645">
        <f ca="1">VLOOKUP($A335,Data!$C$2:$H$384,6,FALSE)</f>
        <v>0</v>
      </c>
    </row>
    <row r="336" spans="1:2" ht="13.95" customHeight="1" x14ac:dyDescent="0.25">
      <c r="A336" s="542" t="s">
        <v>956</v>
      </c>
      <c r="B336" s="645">
        <f ca="1">VLOOKUP($A336,Data!$C$2:$H$384,6,FALSE)</f>
        <v>0</v>
      </c>
    </row>
    <row r="337" spans="1:2" ht="13.95" customHeight="1" x14ac:dyDescent="0.25">
      <c r="A337" s="542" t="s">
        <v>957</v>
      </c>
      <c r="B337" s="645">
        <f ca="1">VLOOKUP($A337,Data!$C$2:$H$384,6,FALSE)</f>
        <v>0</v>
      </c>
    </row>
    <row r="338" spans="1:2" ht="13.95" customHeight="1" x14ac:dyDescent="0.25">
      <c r="A338" s="542" t="s">
        <v>958</v>
      </c>
      <c r="B338" s="645">
        <f ca="1">VLOOKUP($A338,Data!$C$2:$H$384,6,FALSE)</f>
        <v>0</v>
      </c>
    </row>
    <row r="339" spans="1:2" ht="13.95" customHeight="1" x14ac:dyDescent="0.25">
      <c r="A339" s="542" t="s">
        <v>959</v>
      </c>
      <c r="B339" s="645">
        <f ca="1">VLOOKUP($A339,Data!$C$2:$H$384,6,FALSE)</f>
        <v>0</v>
      </c>
    </row>
    <row r="340" spans="1:2" ht="13.95" customHeight="1" x14ac:dyDescent="0.25">
      <c r="A340" s="542" t="s">
        <v>960</v>
      </c>
      <c r="B340" s="645">
        <f ca="1">VLOOKUP($A340,Data!$C$2:$H$384,6,FALSE)</f>
        <v>0</v>
      </c>
    </row>
    <row r="341" spans="1:2" ht="13.95" customHeight="1" x14ac:dyDescent="0.25">
      <c r="A341" s="542" t="s">
        <v>961</v>
      </c>
      <c r="B341" s="645">
        <f ca="1">VLOOKUP($A341,Data!$C$2:$H$384,6,FALSE)</f>
        <v>0</v>
      </c>
    </row>
    <row r="342" spans="1:2" ht="13.95" customHeight="1" x14ac:dyDescent="0.25">
      <c r="A342" s="542" t="s">
        <v>962</v>
      </c>
      <c r="B342" s="645">
        <f ca="1">VLOOKUP($A342,Data!$C$2:$H$384,6,FALSE)</f>
        <v>0</v>
      </c>
    </row>
    <row r="343" spans="1:2" ht="13.95" customHeight="1" x14ac:dyDescent="0.25">
      <c r="A343" s="542" t="s">
        <v>963</v>
      </c>
      <c r="B343" s="645">
        <f ca="1">VLOOKUP($A343,Data!$C$2:$H$384,6,FALSE)</f>
        <v>0</v>
      </c>
    </row>
    <row r="344" spans="1:2" ht="13.95" customHeight="1" x14ac:dyDescent="0.25">
      <c r="A344" s="542" t="s">
        <v>211</v>
      </c>
      <c r="B344" s="645">
        <f ca="1">VLOOKUP($A344,Data!$C$2:$H$384,6,FALSE)</f>
        <v>0</v>
      </c>
    </row>
    <row r="345" spans="1:2" ht="13.95" customHeight="1" x14ac:dyDescent="0.25">
      <c r="A345" s="542" t="s">
        <v>212</v>
      </c>
      <c r="B345" s="645">
        <f ca="1">VLOOKUP($A345,Data!$C$2:$H$384,6,FALSE)</f>
        <v>0</v>
      </c>
    </row>
    <row r="346" spans="1:2" ht="13.95" customHeight="1" x14ac:dyDescent="0.25">
      <c r="A346" s="542" t="s">
        <v>213</v>
      </c>
      <c r="B346" s="645">
        <f ca="1">VLOOKUP($A346,Data!$C$2:$H$384,6,FALSE)</f>
        <v>0</v>
      </c>
    </row>
    <row r="347" spans="1:2" ht="13.95" customHeight="1" x14ac:dyDescent="0.25">
      <c r="A347" s="542" t="s">
        <v>214</v>
      </c>
      <c r="B347" s="645">
        <f ca="1">VLOOKUP($A347,Data!$C$2:$H$384,6,FALSE)</f>
        <v>0</v>
      </c>
    </row>
    <row r="348" spans="1:2" ht="13.95" customHeight="1" x14ac:dyDescent="0.25">
      <c r="A348" s="542" t="s">
        <v>973</v>
      </c>
      <c r="B348" s="645">
        <f ca="1">VLOOKUP($A348,Data!$C$2:$H$384,6,FALSE)</f>
        <v>0</v>
      </c>
    </row>
    <row r="349" spans="1:2" ht="13.95" customHeight="1" x14ac:dyDescent="0.25">
      <c r="A349" s="542" t="s">
        <v>2618</v>
      </c>
      <c r="B349" s="645">
        <f ca="1">VLOOKUP($A349,Data!$C$2:$H$384,6,FALSE)</f>
        <v>0</v>
      </c>
    </row>
    <row r="350" spans="1:2" ht="13.95" customHeight="1" x14ac:dyDescent="0.25">
      <c r="A350" s="542" t="s">
        <v>215</v>
      </c>
      <c r="B350" s="645">
        <f ca="1">VLOOKUP($A350,Data!$C$2:$H$384,6,FALSE)</f>
        <v>0</v>
      </c>
    </row>
    <row r="351" spans="1:2" ht="13.95" customHeight="1" x14ac:dyDescent="0.25">
      <c r="A351" s="542" t="s">
        <v>216</v>
      </c>
      <c r="B351" s="645">
        <f ca="1">VLOOKUP($A351,Data!$C$2:$H$384,6,FALSE)</f>
        <v>0</v>
      </c>
    </row>
    <row r="352" spans="1:2" ht="13.95" customHeight="1" x14ac:dyDescent="0.25">
      <c r="A352" s="542" t="s">
        <v>217</v>
      </c>
      <c r="B352" s="645">
        <f ca="1">VLOOKUP($A352,Data!$C$2:$H$384,6,FALSE)</f>
        <v>0</v>
      </c>
    </row>
    <row r="353" spans="1:2" ht="13.95" customHeight="1" x14ac:dyDescent="0.25">
      <c r="A353" s="542" t="s">
        <v>218</v>
      </c>
      <c r="B353" s="645">
        <f ca="1">VLOOKUP($A353,Data!$C$2:$H$384,6,FALSE)</f>
        <v>0</v>
      </c>
    </row>
    <row r="354" spans="1:2" ht="13.95" customHeight="1" x14ac:dyDescent="0.25">
      <c r="A354" s="542" t="s">
        <v>219</v>
      </c>
      <c r="B354" s="645">
        <f ca="1">VLOOKUP($A354,Data!$C$2:$H$384,6,FALSE)</f>
        <v>0</v>
      </c>
    </row>
    <row r="355" spans="1:2" ht="13.95" customHeight="1" x14ac:dyDescent="0.25">
      <c r="A355" s="542" t="s">
        <v>220</v>
      </c>
      <c r="B355" s="645">
        <f ca="1">VLOOKUP($A355,Data!$C$2:$H$384,6,FALSE)</f>
        <v>0</v>
      </c>
    </row>
    <row r="356" spans="1:2" ht="13.95" customHeight="1" x14ac:dyDescent="0.25">
      <c r="A356" s="542" t="s">
        <v>221</v>
      </c>
      <c r="B356" s="645">
        <f ca="1">VLOOKUP($A356,Data!$C$2:$H$384,6,FALSE)</f>
        <v>0</v>
      </c>
    </row>
    <row r="357" spans="1:2" ht="13.95" customHeight="1" x14ac:dyDescent="0.25">
      <c r="A357" s="542" t="s">
        <v>222</v>
      </c>
      <c r="B357" s="645">
        <f ca="1">VLOOKUP($A357,Data!$C$2:$H$384,6,FALSE)</f>
        <v>0</v>
      </c>
    </row>
    <row r="358" spans="1:2" ht="13.95" customHeight="1" x14ac:dyDescent="0.25">
      <c r="A358" s="542" t="s">
        <v>223</v>
      </c>
      <c r="B358" s="645">
        <f ca="1">VLOOKUP($A358,Data!$C$2:$H$384,6,FALSE)</f>
        <v>0</v>
      </c>
    </row>
    <row r="359" spans="1:2" ht="13.95" customHeight="1" x14ac:dyDescent="0.25">
      <c r="A359" s="542" t="s">
        <v>225</v>
      </c>
      <c r="B359" s="645">
        <f ca="1">VLOOKUP($A359,Data!$C$2:$H$384,6,FALSE)</f>
        <v>0</v>
      </c>
    </row>
    <row r="360" spans="1:2" ht="13.95" customHeight="1" x14ac:dyDescent="0.25">
      <c r="A360" s="542" t="s">
        <v>226</v>
      </c>
      <c r="B360" s="645">
        <f ca="1">VLOOKUP($A360,Data!$C$2:$H$384,6,FALSE)</f>
        <v>0</v>
      </c>
    </row>
    <row r="361" spans="1:2" ht="13.95" customHeight="1" x14ac:dyDescent="0.25">
      <c r="A361" s="542" t="s">
        <v>227</v>
      </c>
      <c r="B361" s="645">
        <f ca="1">VLOOKUP($A361,Data!$C$2:$H$384,6,FALSE)</f>
        <v>0</v>
      </c>
    </row>
    <row r="362" spans="1:2" ht="13.95" customHeight="1" x14ac:dyDescent="0.25">
      <c r="A362" s="542" t="s">
        <v>228</v>
      </c>
      <c r="B362" s="645">
        <f ca="1">VLOOKUP($A362,Data!$C$2:$H$384,6,FALSE)</f>
        <v>0</v>
      </c>
    </row>
    <row r="363" spans="1:2" ht="13.95" customHeight="1" x14ac:dyDescent="0.25">
      <c r="A363" s="542" t="s">
        <v>229</v>
      </c>
      <c r="B363" s="645">
        <f ca="1">VLOOKUP($A363,Data!$C$2:$H$384,6,FALSE)</f>
        <v>0</v>
      </c>
    </row>
    <row r="364" spans="1:2" ht="13.95" customHeight="1" x14ac:dyDescent="0.25">
      <c r="A364" s="542" t="s">
        <v>230</v>
      </c>
      <c r="B364" s="645">
        <f ca="1">VLOOKUP($A364,Data!$C$2:$H$384,6,FALSE)</f>
        <v>0</v>
      </c>
    </row>
    <row r="365" spans="1:2" ht="13.95" customHeight="1" x14ac:dyDescent="0.25">
      <c r="A365" s="542" t="s">
        <v>231</v>
      </c>
      <c r="B365" s="645">
        <f ca="1">VLOOKUP($A365,Data!$C$2:$H$384,6,FALSE)</f>
        <v>0</v>
      </c>
    </row>
    <row r="366" spans="1:2" ht="13.95" customHeight="1" x14ac:dyDescent="0.25">
      <c r="A366" s="542" t="s">
        <v>233</v>
      </c>
      <c r="B366" s="645">
        <f ca="1">VLOOKUP($A366,Data!$C$2:$H$384,6,FALSE)</f>
        <v>0</v>
      </c>
    </row>
    <row r="367" spans="1:2" ht="13.95" customHeight="1" x14ac:dyDescent="0.25">
      <c r="A367" s="542" t="s">
        <v>234</v>
      </c>
      <c r="B367" s="645">
        <f ca="1">VLOOKUP($A367,Data!$C$2:$H$384,6,FALSE)</f>
        <v>0</v>
      </c>
    </row>
    <row r="368" spans="1:2" ht="13.95" customHeight="1" x14ac:dyDescent="0.25">
      <c r="A368" s="542" t="s">
        <v>235</v>
      </c>
      <c r="B368" s="645">
        <f ca="1">VLOOKUP($A368,Data!$C$2:$H$384,6,FALSE)</f>
        <v>0</v>
      </c>
    </row>
    <row r="369" spans="1:2" ht="13.95" customHeight="1" x14ac:dyDescent="0.25">
      <c r="A369" s="542" t="s">
        <v>236</v>
      </c>
      <c r="B369" s="645">
        <f ca="1">VLOOKUP($A369,Data!$C$2:$H$384,6,FALSE)</f>
        <v>0</v>
      </c>
    </row>
    <row r="370" spans="1:2" ht="13.95" customHeight="1" x14ac:dyDescent="0.25">
      <c r="A370" s="542" t="s">
        <v>237</v>
      </c>
      <c r="B370" s="645">
        <f ca="1">VLOOKUP($A370,Data!$C$2:$H$384,6,FALSE)</f>
        <v>0</v>
      </c>
    </row>
    <row r="371" spans="1:2" ht="13.95" customHeight="1" x14ac:dyDescent="0.25">
      <c r="A371" s="542" t="s">
        <v>238</v>
      </c>
      <c r="B371" s="645">
        <f ca="1">VLOOKUP($A371,Data!$C$2:$H$384,6,FALSE)</f>
        <v>0</v>
      </c>
    </row>
    <row r="372" spans="1:2" ht="13.95" customHeight="1" x14ac:dyDescent="0.25">
      <c r="A372" s="542" t="s">
        <v>2623</v>
      </c>
      <c r="B372" s="645">
        <f ca="1">VLOOKUP($A372,Data!$C$2:$H$384,6,FALSE)</f>
        <v>0</v>
      </c>
    </row>
    <row r="373" spans="1:2" ht="13.95" customHeight="1" x14ac:dyDescent="0.25">
      <c r="A373" s="542" t="s">
        <v>2624</v>
      </c>
      <c r="B373" s="645">
        <f ca="1">VLOOKUP($A373,Data!$C$2:$H$384,6,FALSE)</f>
        <v>0</v>
      </c>
    </row>
    <row r="374" spans="1:2" ht="13.95" customHeight="1" x14ac:dyDescent="0.25">
      <c r="A374" s="542" t="s">
        <v>2625</v>
      </c>
      <c r="B374" s="645">
        <f ca="1">VLOOKUP($A374,Data!$C$2:$H$384,6,FALSE)</f>
        <v>0</v>
      </c>
    </row>
    <row r="375" spans="1:2" ht="13.95" customHeight="1" x14ac:dyDescent="0.25">
      <c r="A375" s="542" t="s">
        <v>2626</v>
      </c>
      <c r="B375" s="645">
        <f ca="1">VLOOKUP($A375,Data!$C$2:$H$384,6,FALSE)</f>
        <v>0</v>
      </c>
    </row>
    <row r="376" spans="1:2" ht="13.95" customHeight="1" x14ac:dyDescent="0.25">
      <c r="A376" s="542" t="s">
        <v>2627</v>
      </c>
      <c r="B376" s="645">
        <f ca="1">VLOOKUP($A376,Data!$C$2:$H$384,6,FALSE)</f>
        <v>0</v>
      </c>
    </row>
    <row r="377" spans="1:2" ht="13.95" customHeight="1" x14ac:dyDescent="0.25">
      <c r="A377" s="542" t="s">
        <v>2628</v>
      </c>
      <c r="B377" s="645">
        <f ca="1">VLOOKUP($A377,Data!$C$2:$H$384,6,FALSE)</f>
        <v>0</v>
      </c>
    </row>
    <row r="378" spans="1:2" ht="13.95" customHeight="1" x14ac:dyDescent="0.25">
      <c r="A378" s="542" t="s">
        <v>2631</v>
      </c>
      <c r="B378" s="645">
        <f ca="1">VLOOKUP($A378,Data!$C$2:$H$384,6,FALSE)</f>
        <v>0</v>
      </c>
    </row>
    <row r="379" spans="1:2" ht="13.95" customHeight="1" x14ac:dyDescent="0.25">
      <c r="A379" s="542" t="s">
        <v>2632</v>
      </c>
      <c r="B379" s="645">
        <f ca="1">VLOOKUP($A379,Data!$C$2:$H$384,6,FALSE)</f>
        <v>0</v>
      </c>
    </row>
    <row r="380" spans="1:2" ht="13.95" customHeight="1" x14ac:dyDescent="0.25">
      <c r="A380" s="542" t="s">
        <v>2633</v>
      </c>
      <c r="B380" s="645">
        <f ca="1">VLOOKUP($A380,Data!$C$2:$H$384,6,FALSE)</f>
        <v>0</v>
      </c>
    </row>
    <row r="381" spans="1:2" ht="13.95" customHeight="1" x14ac:dyDescent="0.25">
      <c r="A381" s="542" t="s">
        <v>2634</v>
      </c>
      <c r="B381" s="645">
        <f ca="1">VLOOKUP($A381,Data!$C$2:$H$384,6,FALSE)</f>
        <v>0</v>
      </c>
    </row>
    <row r="382" spans="1:2" ht="13.95" customHeight="1" x14ac:dyDescent="0.25">
      <c r="A382" s="542" t="s">
        <v>2635</v>
      </c>
      <c r="B382" s="645">
        <f ca="1">VLOOKUP($A382,Data!$C$2:$H$384,6,FALSE)</f>
        <v>0</v>
      </c>
    </row>
    <row r="383" spans="1:2" ht="13.95" customHeight="1" x14ac:dyDescent="0.25">
      <c r="A383" s="542" t="s">
        <v>2636</v>
      </c>
      <c r="B383" s="645">
        <f ca="1">VLOOKUP($A383,Data!$C$2:$H$384,6,FALSE)</f>
        <v>0</v>
      </c>
    </row>
    <row r="384" spans="1:2" ht="13.95" customHeight="1" x14ac:dyDescent="0.25">
      <c r="A384" s="542" t="s">
        <v>2637</v>
      </c>
      <c r="B384" s="645">
        <f ca="1">VLOOKUP($A384,Data!$C$2:$H$384,6,FALSE)</f>
        <v>0</v>
      </c>
    </row>
    <row r="385" spans="1:2" ht="13.95" customHeight="1" x14ac:dyDescent="0.25">
      <c r="A385" s="542" t="s">
        <v>2638</v>
      </c>
      <c r="B385" s="645">
        <f ca="1">VLOOKUP($A385,Data!$C$2:$H$384,6,FALSE)</f>
        <v>0</v>
      </c>
    </row>
    <row r="386" spans="1:2" ht="13.95" customHeight="1" x14ac:dyDescent="0.25">
      <c r="A386" s="542" t="s">
        <v>2639</v>
      </c>
      <c r="B386" s="645">
        <f ca="1">VLOOKUP($A386,Data!$C$2:$H$384,6,FALSE)</f>
        <v>0</v>
      </c>
    </row>
    <row r="387" spans="1:2" ht="13.95" customHeight="1" x14ac:dyDescent="0.25">
      <c r="A387" s="542" t="s">
        <v>2640</v>
      </c>
      <c r="B387" s="645">
        <f ca="1">VLOOKUP($A387,Data!$C$2:$H$384,6,FALSE)</f>
        <v>0</v>
      </c>
    </row>
    <row r="388" spans="1:2" ht="13.95" customHeight="1" x14ac:dyDescent="0.25">
      <c r="A388" s="542" t="s">
        <v>2641</v>
      </c>
      <c r="B388" s="645">
        <f ca="1">VLOOKUP($A388,Data!$C$2:$H$384,6,FALSE)</f>
        <v>0</v>
      </c>
    </row>
    <row r="389" spans="1:2" ht="13.95" customHeight="1" x14ac:dyDescent="0.25">
      <c r="A389" s="542" t="s">
        <v>2642</v>
      </c>
      <c r="B389" s="645">
        <f ca="1">VLOOKUP($A389,Data!$C$2:$H$384,6,FALSE)</f>
        <v>0</v>
      </c>
    </row>
    <row r="390" spans="1:2" ht="13.95" customHeight="1" x14ac:dyDescent="0.25">
      <c r="A390" s="542" t="s">
        <v>2643</v>
      </c>
      <c r="B390" s="645">
        <f ca="1">VLOOKUP($A390,Data!$C$2:$H$384,6,FALSE)</f>
        <v>0</v>
      </c>
    </row>
    <row r="391" spans="1:2" ht="13.95" customHeight="1" x14ac:dyDescent="0.25">
      <c r="A391" s="542" t="s">
        <v>2646</v>
      </c>
      <c r="B391" s="645">
        <f ca="1">VLOOKUP($A391,Data!$C$2:$H$384,6,FALSE)</f>
        <v>0</v>
      </c>
    </row>
    <row r="392" spans="1:2" ht="13.95" customHeight="1" x14ac:dyDescent="0.25">
      <c r="A392" s="542" t="s">
        <v>2647</v>
      </c>
      <c r="B392" s="645">
        <f ca="1">VLOOKUP($A392,Data!$C$2:$H$384,6,FALSE)</f>
        <v>0</v>
      </c>
    </row>
    <row r="393" spans="1:2" ht="13.95" customHeight="1" x14ac:dyDescent="0.25">
      <c r="A393" s="542" t="s">
        <v>2648</v>
      </c>
      <c r="B393" s="645">
        <f ca="1">VLOOKUP($A393,Data!$C$2:$H$384,6,FALSE)</f>
        <v>0</v>
      </c>
    </row>
    <row r="394" spans="1:2" ht="13.95" customHeight="1" x14ac:dyDescent="0.25">
      <c r="A394" s="542" t="s">
        <v>2649</v>
      </c>
      <c r="B394" s="645">
        <f ca="1">VLOOKUP($A394,Data!$C$2:$H$384,6,FALSE)</f>
        <v>0</v>
      </c>
    </row>
    <row r="395" spans="1:2" ht="13.95" customHeight="1" x14ac:dyDescent="0.25">
      <c r="A395" s="542" t="s">
        <v>2650</v>
      </c>
      <c r="B395" s="645">
        <f ca="1">VLOOKUP($A395,Data!$C$2:$H$384,6,FALSE)</f>
        <v>0</v>
      </c>
    </row>
    <row r="396" spans="1:2" ht="13.95" customHeight="1" x14ac:dyDescent="0.25">
      <c r="A396" s="542" t="s">
        <v>2651</v>
      </c>
      <c r="B396" s="645">
        <f ca="1">VLOOKUP($A396,Data!$C$2:$H$384,6,FALSE)</f>
        <v>0</v>
      </c>
    </row>
    <row r="397" spans="1:2" ht="13.95" customHeight="1" x14ac:dyDescent="0.25">
      <c r="A397" s="542" t="s">
        <v>175</v>
      </c>
      <c r="B397" s="645">
        <f ca="1">VLOOKUP($A397,Data!$C$2:$H$384,6,FALSE)</f>
        <v>0</v>
      </c>
    </row>
    <row r="398" spans="1:2" ht="13.95" customHeight="1" x14ac:dyDescent="0.25">
      <c r="A398" s="542" t="s">
        <v>176</v>
      </c>
      <c r="B398" s="645">
        <f ca="1">VLOOKUP($A398,Data!$C$2:$H$384,6,FALSE)</f>
        <v>0</v>
      </c>
    </row>
    <row r="399" spans="1:2" ht="13.95" customHeight="1" x14ac:dyDescent="0.25">
      <c r="A399" s="542" t="s">
        <v>177</v>
      </c>
      <c r="B399" s="645">
        <f ca="1">VLOOKUP($A399,Data!$C$2:$H$384,6,FALSE)</f>
        <v>0</v>
      </c>
    </row>
    <row r="400" spans="1:2" ht="13.95" customHeight="1" x14ac:dyDescent="0.25">
      <c r="A400" s="542" t="s">
        <v>178</v>
      </c>
      <c r="B400" s="645">
        <f ca="1">VLOOKUP($A400,Data!$C$2:$H$384,6,FALSE)</f>
        <v>0</v>
      </c>
    </row>
    <row r="401" spans="1:2" ht="13.95" customHeight="1" x14ac:dyDescent="0.25">
      <c r="A401" s="542" t="s">
        <v>179</v>
      </c>
      <c r="B401" s="645">
        <f ca="1">VLOOKUP($A401,Data!$C$2:$H$384,6,FALSE)</f>
        <v>0</v>
      </c>
    </row>
    <row r="402" spans="1:2" ht="13.95" customHeight="1" x14ac:dyDescent="0.25">
      <c r="A402" s="542" t="s">
        <v>180</v>
      </c>
      <c r="B402" s="645">
        <f ca="1">VLOOKUP($A402,Data!$C$2:$H$384,6,FALSE)</f>
        <v>0</v>
      </c>
    </row>
    <row r="403" spans="1:2" ht="13.95" customHeight="1" x14ac:dyDescent="0.25">
      <c r="A403" s="542" t="s">
        <v>181</v>
      </c>
      <c r="B403" s="645">
        <f ca="1">VLOOKUP($A403,Data!$C$2:$H$384,6,FALSE)</f>
        <v>0</v>
      </c>
    </row>
    <row r="404" spans="1:2" ht="13.95" customHeight="1" x14ac:dyDescent="0.25">
      <c r="A404" s="542" t="s">
        <v>182</v>
      </c>
      <c r="B404" s="645">
        <f ca="1">VLOOKUP($A404,Data!$C$2:$H$384,6,FALSE)</f>
        <v>0</v>
      </c>
    </row>
    <row r="405" spans="1:2" ht="13.95" customHeight="1" x14ac:dyDescent="0.25">
      <c r="A405" s="542" t="s">
        <v>183</v>
      </c>
      <c r="B405" s="645">
        <f ca="1">VLOOKUP($A405,Data!$C$2:$H$384,6,FALSE)</f>
        <v>0</v>
      </c>
    </row>
    <row r="406" spans="1:2" ht="13.95" customHeight="1" x14ac:dyDescent="0.25">
      <c r="A406" s="542" t="s">
        <v>184</v>
      </c>
      <c r="B406" s="645">
        <f ca="1">VLOOKUP($A406,Data!$C$2:$H$384,6,FALSE)</f>
        <v>0</v>
      </c>
    </row>
    <row r="407" spans="1:2" ht="13.95" customHeight="1" x14ac:dyDescent="0.25">
      <c r="A407" s="542" t="s">
        <v>185</v>
      </c>
      <c r="B407" s="645">
        <f ca="1">VLOOKUP($A407,Data!$C$2:$H$384,6,FALSE)</f>
        <v>0</v>
      </c>
    </row>
    <row r="408" spans="1:2" ht="13.95" customHeight="1" x14ac:dyDescent="0.25">
      <c r="A408" s="542" t="s">
        <v>187</v>
      </c>
      <c r="B408" s="645">
        <f ca="1">VLOOKUP($A408,Data!$C$2:$H$384,6,FALSE)</f>
        <v>0</v>
      </c>
    </row>
    <row r="409" spans="1:2" ht="13.95" customHeight="1" x14ac:dyDescent="0.25">
      <c r="A409" s="542" t="s">
        <v>2652</v>
      </c>
      <c r="B409" s="645">
        <f ca="1">VLOOKUP($A409,Data!$C$2:$H$384,6,FALSE)</f>
        <v>0</v>
      </c>
    </row>
    <row r="410" spans="1:2" ht="13.95" customHeight="1" x14ac:dyDescent="0.25">
      <c r="A410" s="542" t="s">
        <v>189</v>
      </c>
      <c r="B410" s="645">
        <f ca="1">VLOOKUP($A410,Data!$C$2:$H$384,6,FALSE)</f>
        <v>0</v>
      </c>
    </row>
    <row r="411" spans="1:2" ht="13.95" customHeight="1" x14ac:dyDescent="0.25">
      <c r="A411" s="542" t="s">
        <v>190</v>
      </c>
      <c r="B411" s="645">
        <f ca="1">VLOOKUP($A411,Data!$C$2:$H$384,6,FALSE)</f>
        <v>0</v>
      </c>
    </row>
    <row r="412" spans="1:2" ht="13.95" customHeight="1" x14ac:dyDescent="0.25">
      <c r="A412" s="542" t="s">
        <v>191</v>
      </c>
      <c r="B412" s="645">
        <f ca="1">VLOOKUP($A412,Data!$C$2:$H$384,6,FALSE)</f>
        <v>0</v>
      </c>
    </row>
    <row r="413" spans="1:2" ht="13.95" customHeight="1" x14ac:dyDescent="0.25">
      <c r="A413" s="542" t="s">
        <v>192</v>
      </c>
      <c r="B413" s="645">
        <f ca="1">VLOOKUP($A413,Data!$C$2:$H$384,6,FALSE)</f>
        <v>0</v>
      </c>
    </row>
    <row r="414" spans="1:2" ht="13.95" customHeight="1" x14ac:dyDescent="0.25">
      <c r="A414" s="542" t="s">
        <v>193</v>
      </c>
      <c r="B414" s="645">
        <f ca="1">VLOOKUP($A414,Data!$C$2:$H$384,6,FALSE)</f>
        <v>0</v>
      </c>
    </row>
    <row r="415" spans="1:2" ht="13.95" customHeight="1" x14ac:dyDescent="0.25">
      <c r="A415" s="542" t="s">
        <v>194</v>
      </c>
      <c r="B415" s="645">
        <f ca="1">VLOOKUP($A415,Data!$C$2:$H$384,6,FALSE)</f>
        <v>0</v>
      </c>
    </row>
    <row r="416" spans="1:2" ht="13.95" customHeight="1" x14ac:dyDescent="0.25">
      <c r="A416" s="542" t="s">
        <v>195</v>
      </c>
      <c r="B416" s="645">
        <f ca="1">VLOOKUP($A416,Data!$C$2:$H$384,6,FALSE)</f>
        <v>0</v>
      </c>
    </row>
    <row r="417" spans="1:2" ht="13.95" customHeight="1" x14ac:dyDescent="0.25">
      <c r="A417" s="542" t="s">
        <v>196</v>
      </c>
      <c r="B417" s="645">
        <f ca="1">VLOOKUP($A417,Data!$C$2:$H$384,6,FALSE)</f>
        <v>0</v>
      </c>
    </row>
    <row r="418" spans="1:2" ht="13.95" customHeight="1" x14ac:dyDescent="0.25">
      <c r="A418" s="542" t="s">
        <v>197</v>
      </c>
      <c r="B418" s="645">
        <f ca="1">VLOOKUP($A418,Data!$C$2:$H$384,6,FALSE)</f>
        <v>0</v>
      </c>
    </row>
    <row r="419" spans="1:2" ht="13.95" customHeight="1" x14ac:dyDescent="0.25">
      <c r="A419" s="542" t="s">
        <v>199</v>
      </c>
      <c r="B419" s="645">
        <f ca="1">VLOOKUP($A419,Data!$C$2:$H$384,6,FALSE)</f>
        <v>0</v>
      </c>
    </row>
    <row r="420" spans="1:2" ht="13.95" customHeight="1" x14ac:dyDescent="0.25">
      <c r="A420" s="542" t="s">
        <v>201</v>
      </c>
      <c r="B420" s="645">
        <f ca="1">VLOOKUP($A420,Data!$C$2:$H$384,6,FALSE)</f>
        <v>0</v>
      </c>
    </row>
    <row r="421" spans="1:2" ht="13.95" customHeight="1" x14ac:dyDescent="0.25">
      <c r="A421" s="542" t="s">
        <v>205</v>
      </c>
      <c r="B421" s="645">
        <f ca="1">VLOOKUP($A421,Data!$C$2:$H$384,6,FALSE)</f>
        <v>0</v>
      </c>
    </row>
    <row r="422" spans="1:2" ht="13.95" customHeight="1" x14ac:dyDescent="0.25">
      <c r="A422" s="542" t="s">
        <v>206</v>
      </c>
      <c r="B422" s="645">
        <f ca="1">VLOOKUP($A422,Data!$C$2:$H$384,6,FALSE)</f>
        <v>0</v>
      </c>
    </row>
    <row r="423" spans="1:2" ht="13.95" customHeight="1" x14ac:dyDescent="0.25">
      <c r="A423" s="542" t="s">
        <v>207</v>
      </c>
      <c r="B423" s="645">
        <f ca="1">VLOOKUP($A423,Data!$C$2:$H$384,6,FALSE)</f>
        <v>0</v>
      </c>
    </row>
    <row r="424" spans="1:2" ht="13.95" customHeight="1" x14ac:dyDescent="0.25">
      <c r="A424" s="542" t="s">
        <v>208</v>
      </c>
      <c r="B424" s="645">
        <f ca="1">VLOOKUP($A424,Data!$C$2:$H$384,6,FALSE)</f>
        <v>0</v>
      </c>
    </row>
    <row r="425" spans="1:2" ht="13.95" customHeight="1" x14ac:dyDescent="0.25">
      <c r="A425" s="542" t="s">
        <v>209</v>
      </c>
      <c r="B425" s="645">
        <f ca="1">VLOOKUP($A425,Data!$C$2:$H$384,6,FALSE)</f>
        <v>0</v>
      </c>
    </row>
    <row r="426" spans="1:2" ht="13.95" customHeight="1" x14ac:dyDescent="0.25">
      <c r="A426" s="542" t="s">
        <v>210</v>
      </c>
      <c r="B426" s="645">
        <f ca="1">VLOOKUP($A426,Data!$C$2:$H$384,6,FALSE)</f>
        <v>0</v>
      </c>
    </row>
    <row r="427" spans="1:2" ht="13.95" customHeight="1" x14ac:dyDescent="0.25">
      <c r="A427" s="542" t="s">
        <v>274</v>
      </c>
      <c r="B427" s="645">
        <f ca="1">VLOOKUP($A427,Data!$C$2:$H$384,6,FALSE)</f>
        <v>0</v>
      </c>
    </row>
    <row r="428" spans="1:2" ht="13.95" customHeight="1" x14ac:dyDescent="0.25">
      <c r="A428" s="542" t="s">
        <v>275</v>
      </c>
      <c r="B428" s="645">
        <f ca="1">VLOOKUP($A428,Data!$C$2:$H$384,6,FALSE)</f>
        <v>0</v>
      </c>
    </row>
    <row r="429" spans="1:2" ht="13.95" customHeight="1" x14ac:dyDescent="0.25">
      <c r="A429" s="542" t="s">
        <v>276</v>
      </c>
      <c r="B429" s="645">
        <f ca="1">VLOOKUP($A429,Data!$C$2:$H$384,6,FALSE)</f>
        <v>0</v>
      </c>
    </row>
    <row r="430" spans="1:2" ht="13.95" customHeight="1" x14ac:dyDescent="0.25">
      <c r="A430" s="542" t="s">
        <v>277</v>
      </c>
      <c r="B430" s="645">
        <f ca="1">VLOOKUP($A430,Data!$C$2:$H$384,6,FALSE)</f>
        <v>0</v>
      </c>
    </row>
    <row r="431" spans="1:2" ht="13.95" customHeight="1" x14ac:dyDescent="0.25">
      <c r="A431" s="542" t="s">
        <v>278</v>
      </c>
      <c r="B431" s="645">
        <f ca="1">VLOOKUP($A431,Data!$C$2:$H$384,6,FALSE)</f>
        <v>0</v>
      </c>
    </row>
    <row r="432" spans="1:2" ht="13.95" customHeight="1" x14ac:dyDescent="0.25">
      <c r="A432" s="542" t="s">
        <v>279</v>
      </c>
      <c r="B432" s="645">
        <f ca="1">VLOOKUP($A432,Data!$C$2:$H$384,6,FALSE)</f>
        <v>0</v>
      </c>
    </row>
    <row r="433" spans="1:2" ht="13.95" customHeight="1" x14ac:dyDescent="0.25">
      <c r="A433" s="542" t="s">
        <v>2653</v>
      </c>
      <c r="B433" s="645">
        <f ca="1">VLOOKUP($A433,Data!$C$2:$H$384,6,FALSE)</f>
        <v>0</v>
      </c>
    </row>
    <row r="434" spans="1:2" ht="13.95" customHeight="1" x14ac:dyDescent="0.25">
      <c r="A434" s="542" t="s">
        <v>280</v>
      </c>
      <c r="B434" s="645">
        <f ca="1">VLOOKUP($A434,Data!$C$2:$H$384,6,FALSE)</f>
        <v>0</v>
      </c>
    </row>
    <row r="435" spans="1:2" ht="13.95" customHeight="1" x14ac:dyDescent="0.25">
      <c r="A435" s="542" t="s">
        <v>281</v>
      </c>
      <c r="B435" s="645">
        <f ca="1">VLOOKUP($A435,Data!$C$2:$H$384,6,FALSE)</f>
        <v>0</v>
      </c>
    </row>
    <row r="436" spans="1:2" ht="13.95" customHeight="1" x14ac:dyDescent="0.25">
      <c r="A436" s="542" t="s">
        <v>282</v>
      </c>
      <c r="B436" s="645">
        <f ca="1">VLOOKUP($A436,Data!$C$2:$H$384,6,FALSE)</f>
        <v>0</v>
      </c>
    </row>
    <row r="437" spans="1:2" ht="13.95" customHeight="1" x14ac:dyDescent="0.25">
      <c r="A437" s="542" t="s">
        <v>283</v>
      </c>
      <c r="B437" s="645">
        <f ca="1">VLOOKUP($A437,Data!$C$2:$H$384,6,FALSE)</f>
        <v>0</v>
      </c>
    </row>
    <row r="438" spans="1:2" ht="13.95" customHeight="1" x14ac:dyDescent="0.25">
      <c r="A438" s="542" t="s">
        <v>284</v>
      </c>
      <c r="B438" s="645">
        <f ca="1">VLOOKUP($A438,Data!$C$2:$H$384,6,FALSE)</f>
        <v>0</v>
      </c>
    </row>
    <row r="439" spans="1:2" ht="13.95" customHeight="1" x14ac:dyDescent="0.25">
      <c r="A439" s="542" t="s">
        <v>285</v>
      </c>
      <c r="B439" s="645">
        <f ca="1">VLOOKUP($A439,Data!$C$2:$H$384,6,FALSE)</f>
        <v>0</v>
      </c>
    </row>
    <row r="440" spans="1:2" ht="13.95" customHeight="1" x14ac:dyDescent="0.25">
      <c r="A440" s="542" t="s">
        <v>2654</v>
      </c>
      <c r="B440" s="645">
        <f ca="1">VLOOKUP($A440,Data!$C$2:$H$384,6,FALSE)</f>
        <v>0</v>
      </c>
    </row>
    <row r="441" spans="1:2" ht="13.95" customHeight="1" x14ac:dyDescent="0.25">
      <c r="A441" s="542" t="s">
        <v>286</v>
      </c>
      <c r="B441" s="645">
        <f ca="1">VLOOKUP($A441,Data!$C$2:$H$384,6,FALSE)</f>
        <v>0</v>
      </c>
    </row>
    <row r="442" spans="1:2" ht="13.95" customHeight="1" x14ac:dyDescent="0.25">
      <c r="A442" s="542" t="s">
        <v>287</v>
      </c>
      <c r="B442" s="645">
        <f ca="1">VLOOKUP($A442,Data!$C$2:$H$384,6,FALSE)</f>
        <v>0</v>
      </c>
    </row>
    <row r="443" spans="1:2" ht="13.95" customHeight="1" x14ac:dyDescent="0.25">
      <c r="A443" s="542" t="s">
        <v>288</v>
      </c>
      <c r="B443" s="645">
        <f ca="1">VLOOKUP($A443,Data!$C$2:$H$384,6,FALSE)</f>
        <v>0</v>
      </c>
    </row>
    <row r="444" spans="1:2" ht="13.95" customHeight="1" x14ac:dyDescent="0.25">
      <c r="A444" s="542" t="s">
        <v>289</v>
      </c>
      <c r="B444" s="645">
        <f ca="1">VLOOKUP($A444,Data!$C$2:$H$384,6,FALSE)</f>
        <v>0</v>
      </c>
    </row>
    <row r="445" spans="1:2" ht="13.95" customHeight="1" x14ac:dyDescent="0.25">
      <c r="A445" s="542" t="s">
        <v>290</v>
      </c>
      <c r="B445" s="645">
        <f ca="1">VLOOKUP($A445,Data!$C$2:$H$384,6,FALSE)</f>
        <v>0</v>
      </c>
    </row>
    <row r="446" spans="1:2" ht="13.95" customHeight="1" x14ac:dyDescent="0.25">
      <c r="A446" s="542" t="s">
        <v>291</v>
      </c>
      <c r="B446" s="645">
        <f ca="1">VLOOKUP($A446,Data!$C$2:$H$384,6,FALSE)</f>
        <v>0</v>
      </c>
    </row>
    <row r="447" spans="1:2" ht="13.95" customHeight="1" x14ac:dyDescent="0.25">
      <c r="A447" s="542" t="s">
        <v>292</v>
      </c>
      <c r="B447" s="645">
        <f ca="1">VLOOKUP($A447,Data!$C$2:$H$384,6,FALSE)</f>
        <v>0</v>
      </c>
    </row>
    <row r="448" spans="1:2" ht="13.95" customHeight="1" x14ac:dyDescent="0.25">
      <c r="A448" s="542" t="s">
        <v>293</v>
      </c>
      <c r="B448" s="645">
        <f ca="1">VLOOKUP($A448,Data!$C$2:$H$384,6,FALSE)</f>
        <v>0</v>
      </c>
    </row>
    <row r="449" spans="1:2" ht="13.95" customHeight="1" x14ac:dyDescent="0.25">
      <c r="A449" s="542" t="s">
        <v>294</v>
      </c>
      <c r="B449" s="645">
        <f ca="1">VLOOKUP($A449,Data!$C$2:$H$384,6,FALSE)</f>
        <v>0</v>
      </c>
    </row>
    <row r="450" spans="1:2" ht="13.95" customHeight="1" x14ac:dyDescent="0.25">
      <c r="A450" s="542" t="s">
        <v>295</v>
      </c>
      <c r="B450" s="645">
        <f ca="1">VLOOKUP($A450,Data!$C$2:$H$384,6,FALSE)</f>
        <v>0</v>
      </c>
    </row>
    <row r="451" spans="1:2" ht="13.95" customHeight="1" x14ac:dyDescent="0.25">
      <c r="A451" s="542" t="s">
        <v>296</v>
      </c>
      <c r="B451" s="645">
        <f ca="1">VLOOKUP($A451,Data!$C$2:$H$384,6,FALSE)</f>
        <v>0</v>
      </c>
    </row>
    <row r="452" spans="1:2" ht="13.95" customHeight="1" x14ac:dyDescent="0.25">
      <c r="A452" s="542" t="s">
        <v>2655</v>
      </c>
      <c r="B452" s="645">
        <f ca="1">VLOOKUP($A452,Data!$C$2:$H$384,6,FALSE)</f>
        <v>0</v>
      </c>
    </row>
    <row r="453" spans="1:2" ht="13.95" customHeight="1" x14ac:dyDescent="0.25">
      <c r="A453" s="542" t="s">
        <v>297</v>
      </c>
      <c r="B453" s="645">
        <f ca="1">VLOOKUP($A453,Data!$C$2:$H$384,6,FALSE)</f>
        <v>0</v>
      </c>
    </row>
    <row r="454" spans="1:2" ht="13.95" customHeight="1" x14ac:dyDescent="0.25">
      <c r="A454" s="542" t="s">
        <v>298</v>
      </c>
      <c r="B454" s="645">
        <f ca="1">VLOOKUP($A454,Data!$C$2:$H$384,6,FALSE)</f>
        <v>0</v>
      </c>
    </row>
    <row r="455" spans="1:2" ht="13.95" customHeight="1" x14ac:dyDescent="0.25">
      <c r="A455" s="542" t="s">
        <v>299</v>
      </c>
      <c r="B455" s="645">
        <f ca="1">VLOOKUP($A455,Data!$C$2:$H$384,6,FALSE)</f>
        <v>0</v>
      </c>
    </row>
    <row r="456" spans="1:2" ht="13.95" customHeight="1" x14ac:dyDescent="0.25">
      <c r="A456" s="542" t="s">
        <v>300</v>
      </c>
      <c r="B456" s="645">
        <f ca="1">VLOOKUP($A456,Data!$C$2:$H$384,6,FALSE)</f>
        <v>0</v>
      </c>
    </row>
    <row r="457" spans="1:2" ht="13.95" customHeight="1" x14ac:dyDescent="0.25">
      <c r="A457" s="542" t="s">
        <v>301</v>
      </c>
      <c r="B457" s="645">
        <f ca="1">VLOOKUP($A457,Data!$C$2:$H$384,6,FALSE)</f>
        <v>0</v>
      </c>
    </row>
    <row r="458" spans="1:2" ht="13.95" customHeight="1" x14ac:dyDescent="0.25">
      <c r="A458" s="542" t="s">
        <v>302</v>
      </c>
      <c r="B458" s="645">
        <f ca="1">VLOOKUP($A458,Data!$C$2:$H$384,6,FALSE)</f>
        <v>0</v>
      </c>
    </row>
    <row r="459" spans="1:2" ht="13.95" customHeight="1" x14ac:dyDescent="0.25">
      <c r="A459" s="542" t="s">
        <v>846</v>
      </c>
      <c r="B459" s="645" t="s">
        <v>2554</v>
      </c>
    </row>
    <row r="460" spans="1:2" ht="13.95" customHeight="1" x14ac:dyDescent="0.25">
      <c r="A460" s="542" t="s">
        <v>847</v>
      </c>
      <c r="B460" s="645" t="s">
        <v>2554</v>
      </c>
    </row>
    <row r="461" spans="1:2" ht="13.95" customHeight="1" x14ac:dyDescent="0.25">
      <c r="A461" s="542" t="s">
        <v>848</v>
      </c>
      <c r="B461" s="645" t="s">
        <v>2554</v>
      </c>
    </row>
    <row r="462" spans="1:2" ht="13.95" customHeight="1" x14ac:dyDescent="0.25">
      <c r="A462" s="542" t="s">
        <v>849</v>
      </c>
      <c r="B462" s="645" t="s">
        <v>2554</v>
      </c>
    </row>
    <row r="463" spans="1:2" ht="13.95" customHeight="1" x14ac:dyDescent="0.25">
      <c r="A463" s="542" t="s">
        <v>850</v>
      </c>
      <c r="B463" s="645" t="s">
        <v>2554</v>
      </c>
    </row>
    <row r="464" spans="1:2" ht="13.95" customHeight="1" x14ac:dyDescent="0.25">
      <c r="A464" s="542" t="s">
        <v>851</v>
      </c>
      <c r="B464" s="645" t="s">
        <v>2554</v>
      </c>
    </row>
    <row r="465" spans="1:2" ht="13.95" customHeight="1" x14ac:dyDescent="0.25">
      <c r="A465" s="542" t="s">
        <v>852</v>
      </c>
      <c r="B465" s="645" t="s">
        <v>2554</v>
      </c>
    </row>
    <row r="466" spans="1:2" ht="13.95" customHeight="1" x14ac:dyDescent="0.25">
      <c r="A466" s="542" t="s">
        <v>853</v>
      </c>
      <c r="B466" s="645" t="s">
        <v>2554</v>
      </c>
    </row>
    <row r="467" spans="1:2" ht="13.95" customHeight="1" x14ac:dyDescent="0.25">
      <c r="A467" s="1038" t="s">
        <v>854</v>
      </c>
      <c r="B467" s="645" t="s">
        <v>2554</v>
      </c>
    </row>
    <row r="468" spans="1:2" ht="13.95" customHeight="1" x14ac:dyDescent="0.25">
      <c r="A468" s="1038" t="s">
        <v>855</v>
      </c>
      <c r="B468" s="645" t="s">
        <v>2554</v>
      </c>
    </row>
    <row r="469" spans="1:2" ht="13.95" customHeight="1" x14ac:dyDescent="0.25">
      <c r="A469" s="1038" t="s">
        <v>856</v>
      </c>
      <c r="B469" s="645" t="s">
        <v>2554</v>
      </c>
    </row>
    <row r="470" spans="1:2" ht="13.95" customHeight="1" x14ac:dyDescent="0.25">
      <c r="A470" s="1038" t="s">
        <v>857</v>
      </c>
      <c r="B470" s="645" t="s">
        <v>2554</v>
      </c>
    </row>
    <row r="471" spans="1:2" ht="13.95" customHeight="1" x14ac:dyDescent="0.25">
      <c r="A471" s="1038" t="s">
        <v>858</v>
      </c>
      <c r="B471" s="645" t="s">
        <v>2554</v>
      </c>
    </row>
    <row r="472" spans="1:2" ht="13.95" customHeight="1" x14ac:dyDescent="0.25">
      <c r="A472" s="1038" t="s">
        <v>859</v>
      </c>
      <c r="B472" s="645" t="s">
        <v>2554</v>
      </c>
    </row>
    <row r="473" spans="1:2" ht="13.95" customHeight="1" x14ac:dyDescent="0.25">
      <c r="A473" s="1038" t="s">
        <v>860</v>
      </c>
      <c r="B473" s="645" t="s">
        <v>2554</v>
      </c>
    </row>
    <row r="474" spans="1:2" ht="13.95" customHeight="1" x14ac:dyDescent="0.25">
      <c r="A474" s="1038" t="s">
        <v>861</v>
      </c>
      <c r="B474" s="645" t="s">
        <v>2554</v>
      </c>
    </row>
    <row r="475" spans="1:2" ht="13.95" customHeight="1" x14ac:dyDescent="0.25">
      <c r="A475" s="1038" t="s">
        <v>862</v>
      </c>
      <c r="B475" s="645" t="s">
        <v>2554</v>
      </c>
    </row>
    <row r="476" spans="1:2" ht="13.95" customHeight="1" x14ac:dyDescent="0.25">
      <c r="A476" s="1038" t="s">
        <v>863</v>
      </c>
      <c r="B476" s="645" t="s">
        <v>2554</v>
      </c>
    </row>
    <row r="477" spans="1:2" ht="13.95" customHeight="1" x14ac:dyDescent="0.25">
      <c r="A477" s="1038" t="s">
        <v>864</v>
      </c>
      <c r="B477" s="645" t="s">
        <v>2554</v>
      </c>
    </row>
    <row r="478" spans="1:2" ht="13.95" customHeight="1" x14ac:dyDescent="0.25">
      <c r="A478" s="1038" t="s">
        <v>865</v>
      </c>
      <c r="B478" s="645" t="s">
        <v>2554</v>
      </c>
    </row>
    <row r="479" spans="1:2" ht="13.95" customHeight="1" x14ac:dyDescent="0.25">
      <c r="A479" s="1038" t="s">
        <v>866</v>
      </c>
      <c r="B479" s="645" t="s">
        <v>2554</v>
      </c>
    </row>
    <row r="480" spans="1:2" ht="13.95" customHeight="1" x14ac:dyDescent="0.25">
      <c r="A480" s="1038" t="s">
        <v>867</v>
      </c>
      <c r="B480" s="645" t="s">
        <v>2554</v>
      </c>
    </row>
  </sheetData>
  <sheetProtection sheet="1" formatCells="0" formatColumns="0" formatRows="0" autoFilter="0"/>
  <mergeCells count="1">
    <mergeCell ref="A3:B3"/>
  </mergeCells>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L17"/>
  <sheetViews>
    <sheetView zoomScale="80" zoomScaleNormal="80" workbookViewId="0"/>
  </sheetViews>
  <sheetFormatPr defaultRowHeight="13.8" x14ac:dyDescent="0.25"/>
  <cols>
    <col min="1" max="1" width="3.81640625" style="595" customWidth="1"/>
    <col min="2" max="2" width="21.81640625" style="595" customWidth="1"/>
    <col min="3" max="3" width="40.08984375" style="595" customWidth="1"/>
    <col min="4" max="4" width="8.7265625" style="595"/>
    <col min="5" max="5" width="37.26953125" style="595" customWidth="1"/>
    <col min="6" max="6" width="40.54296875" style="595" customWidth="1"/>
    <col min="7" max="7" width="43.36328125" style="595" customWidth="1"/>
    <col min="8" max="8" width="5.08984375" style="595" customWidth="1"/>
    <col min="9" max="10" width="8.7265625" style="595"/>
    <col min="11" max="11" width="80.6328125" style="595" customWidth="1"/>
    <col min="12" max="16384" width="8.7265625" style="595"/>
  </cols>
  <sheetData>
    <row r="1" spans="1:12" x14ac:dyDescent="0.25">
      <c r="A1" s="833"/>
      <c r="B1" s="833"/>
      <c r="C1" s="833"/>
      <c r="D1" s="833"/>
      <c r="E1" s="833"/>
      <c r="F1" s="833"/>
      <c r="G1" s="833"/>
      <c r="H1" s="833"/>
      <c r="J1" s="754"/>
      <c r="K1" s="754"/>
      <c r="L1" s="755"/>
    </row>
    <row r="2" spans="1:12" x14ac:dyDescent="0.25">
      <c r="A2" s="833"/>
      <c r="B2" s="877" t="s">
        <v>2550</v>
      </c>
      <c r="C2" s="877">
        <f>MATCH(Summary!H7,Languages!1:1,0)</f>
        <v>3</v>
      </c>
      <c r="D2" s="878"/>
      <c r="E2" s="833"/>
      <c r="F2" s="833"/>
      <c r="G2" s="833"/>
      <c r="H2" s="833"/>
      <c r="J2" s="754"/>
      <c r="K2" s="827" t="s">
        <v>1956</v>
      </c>
      <c r="L2" s="755"/>
    </row>
    <row r="3" spans="1:12" x14ac:dyDescent="0.25">
      <c r="A3" s="833"/>
      <c r="B3" s="879" t="s">
        <v>389</v>
      </c>
      <c r="C3" s="879" t="s">
        <v>2549</v>
      </c>
      <c r="D3" s="880" t="s">
        <v>446</v>
      </c>
      <c r="E3" s="859" t="s">
        <v>591</v>
      </c>
      <c r="F3" s="859" t="s">
        <v>590</v>
      </c>
      <c r="G3" s="859" t="s">
        <v>592</v>
      </c>
      <c r="H3" s="833"/>
      <c r="J3" s="754"/>
      <c r="K3" s="828"/>
      <c r="L3" s="755"/>
    </row>
    <row r="4" spans="1:12" ht="100.05" customHeight="1" x14ac:dyDescent="0.25">
      <c r="A4" s="833"/>
      <c r="B4" s="881" t="s">
        <v>56</v>
      </c>
      <c r="C4" s="882" t="str">
        <f>VLOOKUP($D4,$D$4:$G$14,$C$2,FALSE)</f>
        <v xml:space="preserve">CRITICAL, tiedot Infoimport-välilehdeltä 
</v>
      </c>
      <c r="D4" s="883">
        <v>1</v>
      </c>
      <c r="E4" s="884" t="s">
        <v>56</v>
      </c>
      <c r="F4" s="884" t="s">
        <v>3474</v>
      </c>
      <c r="G4" s="884" t="s">
        <v>56</v>
      </c>
      <c r="H4" s="833"/>
      <c r="J4" s="754"/>
      <c r="K4" s="1285" t="s">
        <v>2591</v>
      </c>
      <c r="L4" s="755"/>
    </row>
    <row r="5" spans="1:12" ht="100.05" customHeight="1" x14ac:dyDescent="0.25">
      <c r="A5" s="833"/>
      <c r="B5" s="881" t="s">
        <v>48</v>
      </c>
      <c r="C5" s="882" t="str">
        <f t="shared" ref="C5:C14" si="0">VLOOKUP($D5,$D$4:$G$14,$C$2,FALSE)</f>
        <v xml:space="preserve">ASSET, tiedot Infoimport-välilehdeltä
</v>
      </c>
      <c r="D5" s="883">
        <v>2</v>
      </c>
      <c r="E5" s="884" t="s">
        <v>48</v>
      </c>
      <c r="F5" s="884" t="s">
        <v>3475</v>
      </c>
      <c r="G5" s="884" t="s">
        <v>48</v>
      </c>
      <c r="H5" s="833"/>
      <c r="J5" s="754"/>
      <c r="K5" s="1285"/>
      <c r="L5" s="755"/>
    </row>
    <row r="6" spans="1:12" ht="100.05" customHeight="1" x14ac:dyDescent="0.25">
      <c r="A6" s="833"/>
      <c r="B6" s="881" t="s">
        <v>64</v>
      </c>
      <c r="C6" s="882" t="str">
        <f t="shared" si="0"/>
        <v xml:space="preserve">THREAT, tiedot Infoimport-välilehdeltä
</v>
      </c>
      <c r="D6" s="883">
        <v>3</v>
      </c>
      <c r="E6" s="884" t="s">
        <v>64</v>
      </c>
      <c r="F6" s="884" t="s">
        <v>3476</v>
      </c>
      <c r="G6" s="884" t="s">
        <v>64</v>
      </c>
      <c r="H6" s="833"/>
      <c r="J6" s="754"/>
      <c r="K6" s="1285"/>
      <c r="L6" s="754"/>
    </row>
    <row r="7" spans="1:12" ht="100.05" customHeight="1" x14ac:dyDescent="0.25">
      <c r="A7" s="833"/>
      <c r="B7" s="881" t="s">
        <v>0</v>
      </c>
      <c r="C7" s="882" t="str">
        <f t="shared" si="0"/>
        <v xml:space="preserve">RISK, tiedot Infoimport-välilehdeltä
</v>
      </c>
      <c r="D7" s="883">
        <v>4</v>
      </c>
      <c r="E7" s="884" t="s">
        <v>0</v>
      </c>
      <c r="F7" s="884" t="s">
        <v>3477</v>
      </c>
      <c r="G7" s="884" t="s">
        <v>0</v>
      </c>
      <c r="H7" s="833"/>
      <c r="J7" s="754"/>
      <c r="K7" s="1285"/>
      <c r="L7" s="754"/>
    </row>
    <row r="8" spans="1:12" ht="100.05" customHeight="1" x14ac:dyDescent="0.25">
      <c r="A8" s="833"/>
      <c r="B8" s="881" t="s">
        <v>59</v>
      </c>
      <c r="C8" s="882" t="str">
        <f t="shared" si="0"/>
        <v xml:space="preserve">ACCESS, tiedot Infoimport-välilehdeltä
</v>
      </c>
      <c r="D8" s="883">
        <v>5</v>
      </c>
      <c r="E8" s="884" t="s">
        <v>59</v>
      </c>
      <c r="F8" s="884" t="s">
        <v>3478</v>
      </c>
      <c r="G8" s="884" t="s">
        <v>59</v>
      </c>
      <c r="H8" s="833"/>
      <c r="J8" s="754"/>
      <c r="K8" s="1285"/>
      <c r="L8" s="754"/>
    </row>
    <row r="9" spans="1:12" ht="100.05" customHeight="1" x14ac:dyDescent="0.25">
      <c r="A9" s="833"/>
      <c r="B9" s="881" t="s">
        <v>67</v>
      </c>
      <c r="C9" s="882" t="str">
        <f t="shared" si="0"/>
        <v xml:space="preserve">SITUATION, tiedot Infoimport-välilehdeltä
</v>
      </c>
      <c r="D9" s="883">
        <v>6</v>
      </c>
      <c r="E9" s="884" t="s">
        <v>67</v>
      </c>
      <c r="F9" s="884" t="s">
        <v>3479</v>
      </c>
      <c r="G9" s="884" t="s">
        <v>67</v>
      </c>
      <c r="H9" s="833"/>
      <c r="J9" s="754"/>
      <c r="K9" s="1285"/>
      <c r="L9" s="754"/>
    </row>
    <row r="10" spans="1:12" ht="100.05" customHeight="1" x14ac:dyDescent="0.25">
      <c r="A10" s="833"/>
      <c r="B10" s="881" t="s">
        <v>69</v>
      </c>
      <c r="C10" s="882" t="str">
        <f t="shared" si="0"/>
        <v xml:space="preserve">RESPONSE, tiedot Infoimport-välilehdeltä
</v>
      </c>
      <c r="D10" s="883">
        <v>7</v>
      </c>
      <c r="E10" s="884" t="s">
        <v>69</v>
      </c>
      <c r="F10" s="884" t="s">
        <v>3480</v>
      </c>
      <c r="G10" s="884" t="s">
        <v>69</v>
      </c>
      <c r="H10" s="833"/>
      <c r="J10" s="754"/>
      <c r="K10" s="1285"/>
      <c r="L10" s="754"/>
    </row>
    <row r="11" spans="1:12" ht="100.05" customHeight="1" x14ac:dyDescent="0.25">
      <c r="A11" s="833"/>
      <c r="B11" s="881" t="s">
        <v>2619</v>
      </c>
      <c r="C11" s="882" t="str">
        <f>VLOOKUP($D11,$D$4:$G$14,$C$2,FALSE)</f>
        <v xml:space="preserve">THIRDPARTY, tiedot Infoimport-välilehdeltä
</v>
      </c>
      <c r="D11" s="883">
        <v>8</v>
      </c>
      <c r="E11" s="884" t="s">
        <v>2619</v>
      </c>
      <c r="F11" s="884" t="s">
        <v>3481</v>
      </c>
      <c r="G11" s="884" t="s">
        <v>2619</v>
      </c>
      <c r="H11" s="833"/>
      <c r="J11" s="754"/>
      <c r="K11" s="1285"/>
      <c r="L11" s="754"/>
    </row>
    <row r="12" spans="1:12" ht="100.05" customHeight="1" x14ac:dyDescent="0.25">
      <c r="A12" s="833"/>
      <c r="B12" s="881" t="s">
        <v>74</v>
      </c>
      <c r="C12" s="882" t="str">
        <f t="shared" si="0"/>
        <v xml:space="preserve">WORKFORCE, tiedot Infoimport-välilehdeltä
</v>
      </c>
      <c r="D12" s="883">
        <v>9</v>
      </c>
      <c r="E12" s="884" t="s">
        <v>74</v>
      </c>
      <c r="F12" s="884" t="s">
        <v>3482</v>
      </c>
      <c r="G12" s="884" t="s">
        <v>74</v>
      </c>
      <c r="H12" s="833"/>
      <c r="J12" s="754"/>
      <c r="K12" s="1285"/>
      <c r="L12" s="754"/>
    </row>
    <row r="13" spans="1:12" ht="100.05" customHeight="1" x14ac:dyDescent="0.25">
      <c r="A13" s="833"/>
      <c r="B13" s="881" t="s">
        <v>77</v>
      </c>
      <c r="C13" s="882" t="str">
        <f t="shared" si="0"/>
        <v xml:space="preserve">ARCHITECTURE, tiedot Infoimport-välilehdeltä
</v>
      </c>
      <c r="D13" s="883">
        <v>10</v>
      </c>
      <c r="E13" s="884" t="s">
        <v>77</v>
      </c>
      <c r="F13" s="884" t="s">
        <v>3483</v>
      </c>
      <c r="G13" s="884" t="s">
        <v>77</v>
      </c>
      <c r="H13" s="833"/>
      <c r="J13" s="754"/>
      <c r="K13" s="1285"/>
      <c r="L13" s="754"/>
    </row>
    <row r="14" spans="1:12" ht="100.05" customHeight="1" x14ac:dyDescent="0.25">
      <c r="A14" s="833"/>
      <c r="B14" s="881" t="s">
        <v>79</v>
      </c>
      <c r="C14" s="882" t="str">
        <f t="shared" si="0"/>
        <v>PROGRAM, tiedot Infoimport-välilehdeltä</v>
      </c>
      <c r="D14" s="883">
        <v>11</v>
      </c>
      <c r="E14" s="884" t="s">
        <v>79</v>
      </c>
      <c r="F14" s="884" t="s">
        <v>2551</v>
      </c>
      <c r="G14" s="884" t="s">
        <v>79</v>
      </c>
      <c r="H14" s="833"/>
      <c r="J14" s="754"/>
      <c r="K14" s="1285"/>
      <c r="L14" s="754"/>
    </row>
    <row r="15" spans="1:12" x14ac:dyDescent="0.25">
      <c r="A15" s="833"/>
      <c r="B15" s="833"/>
      <c r="C15" s="833"/>
      <c r="D15" s="833"/>
      <c r="E15" s="833"/>
      <c r="F15" s="833"/>
      <c r="G15" s="833"/>
      <c r="H15" s="833"/>
      <c r="J15" s="754"/>
      <c r="K15" s="1285"/>
      <c r="L15" s="754"/>
    </row>
    <row r="16" spans="1:12" x14ac:dyDescent="0.25">
      <c r="J16" s="754"/>
      <c r="K16" s="1286"/>
      <c r="L16" s="754"/>
    </row>
    <row r="17" spans="10:12" x14ac:dyDescent="0.25">
      <c r="J17" s="754"/>
      <c r="K17" s="754"/>
      <c r="L17" s="754"/>
    </row>
  </sheetData>
  <sheetProtection sheet="1" objects="1" scenarios="1" formatCells="0" formatColumns="0" formatRows="0"/>
  <mergeCells count="1">
    <mergeCell ref="K4:K1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FFC000"/>
  </sheetPr>
  <dimension ref="A1:U487"/>
  <sheetViews>
    <sheetView showGridLines="0" zoomScaleNormal="100" workbookViewId="0"/>
  </sheetViews>
  <sheetFormatPr defaultColWidth="9.1796875" defaultRowHeight="13.95" customHeight="1" x14ac:dyDescent="0.25"/>
  <cols>
    <col min="1" max="2" width="1.6328125" style="140" customWidth="1"/>
    <col min="3" max="3" width="21.36328125" style="140" customWidth="1"/>
    <col min="4" max="4" width="15.08984375" style="140" customWidth="1"/>
    <col min="5" max="5" width="25.6328125" style="140" customWidth="1"/>
    <col min="6" max="6" width="15.6328125" style="140" customWidth="1"/>
    <col min="7" max="7" width="17.7265625" style="140" customWidth="1"/>
    <col min="8" max="8" width="15.6328125" style="140" customWidth="1"/>
    <col min="9" max="9" width="5.6328125" style="140" customWidth="1"/>
    <col min="10" max="11" width="15.6328125" style="140" customWidth="1"/>
    <col min="12" max="12" width="5.6328125" style="140" customWidth="1"/>
    <col min="13" max="14" width="15.6328125" style="140" customWidth="1"/>
    <col min="15" max="15" width="5.6328125" style="140" customWidth="1"/>
    <col min="16" max="16" width="1.6328125" style="140" customWidth="1"/>
    <col min="17" max="17" width="1.6328125" style="303" customWidth="1"/>
    <col min="18" max="18" width="9.1796875" style="246"/>
    <col min="19" max="19" width="3.08984375" style="246" customWidth="1"/>
    <col min="20" max="20" width="80.6328125" style="246" customWidth="1"/>
    <col min="21" max="21" width="2.453125" style="246" customWidth="1"/>
    <col min="22" max="16384" width="9.1796875" style="246"/>
  </cols>
  <sheetData>
    <row r="1" spans="1:21" s="140" customFormat="1" ht="13.95" customHeight="1" x14ac:dyDescent="0.25">
      <c r="A1" s="135"/>
      <c r="B1" s="135"/>
      <c r="C1" s="135"/>
      <c r="D1" s="135"/>
      <c r="E1" s="135"/>
      <c r="F1" s="135"/>
      <c r="G1" s="135"/>
      <c r="H1" s="135"/>
      <c r="I1" s="135"/>
      <c r="J1" s="135"/>
      <c r="K1" s="135"/>
      <c r="L1" s="135"/>
      <c r="M1" s="135"/>
      <c r="N1" s="135"/>
      <c r="O1" s="135"/>
      <c r="P1" s="135"/>
      <c r="Q1" s="274"/>
      <c r="S1" s="754"/>
      <c r="T1" s="754"/>
      <c r="U1" s="755"/>
    </row>
    <row r="2" spans="1:21" s="257" customFormat="1" ht="18" customHeight="1" x14ac:dyDescent="0.25">
      <c r="A2" s="252"/>
      <c r="B2" s="142"/>
      <c r="C2" s="144"/>
      <c r="D2" s="144"/>
      <c r="E2" s="144"/>
      <c r="F2" s="144"/>
      <c r="G2" s="144"/>
      <c r="H2" s="144"/>
      <c r="I2" s="144"/>
      <c r="J2" s="144"/>
      <c r="K2" s="144"/>
      <c r="L2" s="144"/>
      <c r="M2" s="144"/>
      <c r="N2" s="144"/>
      <c r="O2" s="144"/>
      <c r="P2" s="366"/>
      <c r="Q2" s="274"/>
      <c r="S2" s="754"/>
      <c r="T2" s="961" t="s">
        <v>1956</v>
      </c>
      <c r="U2" s="755"/>
    </row>
    <row r="3" spans="1:21" s="140" customFormat="1" ht="18" customHeight="1" x14ac:dyDescent="0.25">
      <c r="A3" s="135"/>
      <c r="B3" s="157"/>
      <c r="C3" s="260"/>
      <c r="D3" s="260"/>
      <c r="E3" s="260"/>
      <c r="F3" s="260"/>
      <c r="G3" s="260"/>
      <c r="H3" s="260"/>
      <c r="I3" s="260"/>
      <c r="J3" s="260"/>
      <c r="K3" s="260"/>
      <c r="L3" s="260"/>
      <c r="M3" s="260"/>
      <c r="N3" s="260"/>
      <c r="O3" s="260"/>
      <c r="P3" s="273"/>
      <c r="Q3" s="274"/>
      <c r="S3" s="754"/>
      <c r="T3" s="962"/>
      <c r="U3" s="755"/>
    </row>
    <row r="4" spans="1:21" s="140" customFormat="1" ht="30" customHeight="1" x14ac:dyDescent="0.25">
      <c r="A4" s="135"/>
      <c r="B4" s="157"/>
      <c r="C4" s="367" t="str">
        <f>IF(VLOOKUP("KM80",Languages!$A:$D,1,TRUE)="KM80",VLOOKUP("KM80",Languages!$A:$D,Summary!$C$7,TRUE),NA())</f>
        <v>Arviointitulosten ja vertailutiedon tuonti</v>
      </c>
      <c r="D4" s="260"/>
      <c r="E4" s="260"/>
      <c r="F4" s="260"/>
      <c r="G4" s="260"/>
      <c r="H4" s="260"/>
      <c r="I4" s="260"/>
      <c r="J4" s="367"/>
      <c r="K4" s="260"/>
      <c r="L4" s="260"/>
      <c r="M4" s="260"/>
      <c r="N4" s="260"/>
      <c r="O4" s="260"/>
      <c r="P4" s="273"/>
      <c r="Q4" s="274"/>
      <c r="S4" s="754"/>
      <c r="T4" s="1288" t="s">
        <v>2593</v>
      </c>
      <c r="U4" s="755"/>
    </row>
    <row r="5" spans="1:21" s="140" customFormat="1" ht="13.95" customHeight="1" x14ac:dyDescent="0.25">
      <c r="A5" s="135"/>
      <c r="B5" s="157"/>
      <c r="C5" s="260"/>
      <c r="D5" s="260"/>
      <c r="E5" s="260"/>
      <c r="F5" s="260"/>
      <c r="G5" s="260"/>
      <c r="H5" s="260"/>
      <c r="I5" s="260"/>
      <c r="J5" s="260"/>
      <c r="K5" s="260"/>
      <c r="L5" s="260"/>
      <c r="M5" s="260"/>
      <c r="N5" s="260"/>
      <c r="O5" s="260"/>
      <c r="P5" s="273"/>
      <c r="Q5" s="274"/>
      <c r="S5" s="754"/>
      <c r="T5" s="1288"/>
      <c r="U5" s="755"/>
    </row>
    <row r="6" spans="1:21" s="371" customFormat="1" ht="13.95" customHeight="1" x14ac:dyDescent="0.25">
      <c r="A6" s="135"/>
      <c r="B6" s="368"/>
      <c r="C6" s="1293" t="str">
        <f>IF(VLOOKUP("KM50",Languages!$A:$D,1,TRUE)="KM50",VLOOKUP("KM50",Languages!$A:$D,Summary!$C$7,TRUE),NA())</f>
        <v>Aiemmat arviointitulokset (arviointivälilehdille)</v>
      </c>
      <c r="D6" s="1293"/>
      <c r="E6" s="1293"/>
      <c r="F6" s="529"/>
      <c r="G6" s="529"/>
      <c r="H6" s="529"/>
      <c r="I6" s="529"/>
      <c r="J6" s="1293" t="str">
        <f>IF(VLOOKUP("KM51",Languages!$A:$D,1,TRUE)="KM51",VLOOKUP("KM51",Languages!$A:$D,Summary!$C$7,TRUE),NA())</f>
        <v>Aiemmat arviointitulokset (raporteille)</v>
      </c>
      <c r="K6" s="1293"/>
      <c r="L6" s="1293"/>
      <c r="M6" s="1293" t="str">
        <f>IF(VLOOKUP("KM52",Languages!$A:$D,1,TRUE)="KM52",VLOOKUP("KM52",Languages!$A:$D,Summary!$C$7,TRUE),NA())</f>
        <v>Vertailutulokset (raporteille)</v>
      </c>
      <c r="N6" s="1293"/>
      <c r="O6" s="1293"/>
      <c r="P6" s="370"/>
      <c r="Q6" s="315"/>
      <c r="S6" s="754"/>
      <c r="T6" s="1288"/>
      <c r="U6" s="754"/>
    </row>
    <row r="7" spans="1:21" s="140" customFormat="1" ht="22.95" customHeight="1" x14ac:dyDescent="0.25">
      <c r="A7" s="135"/>
      <c r="B7" s="157"/>
      <c r="C7" s="546" t="str">
        <f>IF(VLOOKUP("KM82",Languages!$A:$D,1,TRUE)="KM82",VLOOKUP("KM82",Languages!$A:$D,Summary!$C$7,TRUE),NA())</f>
        <v>Tähän syötetyt tulokset näkyvät Kybermittarin arviointiosioissa nykyisten arvioiden vieressä (sarakkeissa O-S).</v>
      </c>
      <c r="D7" s="528"/>
      <c r="E7" s="528"/>
      <c r="F7" s="528"/>
      <c r="G7" s="528"/>
      <c r="H7" s="528"/>
      <c r="I7" s="528"/>
      <c r="J7" s="1294" t="str">
        <f>IF(VLOOKUP("KM54",Languages!$A:$D,1,TRUE)="KM54",VLOOKUP("KM54",Languages!$A:$D,Summary!$C$7,TRUE),NA())</f>
        <v>Tähän taulukkoon syötetyt vertailutiedot esitetään raporteissa.</v>
      </c>
      <c r="K7" s="1294"/>
      <c r="L7" s="546"/>
      <c r="M7" s="1294" t="str">
        <f>IF(VLOOKUP("KM55",Languages!$A:$D,1,TRUE)="KM55",VLOOKUP("KM55",Languages!$A:$D,Summary!$C$7,TRUE),NA())</f>
        <v>Tähän taulukkoon syötetyt vertailutiedot esitetään raporteissa.</v>
      </c>
      <c r="N7" s="1294"/>
      <c r="O7" s="546"/>
      <c r="P7" s="273"/>
      <c r="Q7" s="274"/>
      <c r="S7" s="754"/>
      <c r="T7" s="1288"/>
      <c r="U7" s="754"/>
    </row>
    <row r="8" spans="1:21" s="140" customFormat="1" ht="13.95" customHeight="1" thickBot="1" x14ac:dyDescent="0.3">
      <c r="A8" s="135"/>
      <c r="B8" s="157"/>
      <c r="C8" s="260"/>
      <c r="D8" s="260"/>
      <c r="E8" s="260"/>
      <c r="F8" s="260"/>
      <c r="G8" s="260"/>
      <c r="H8" s="260"/>
      <c r="I8" s="260"/>
      <c r="J8" s="1295"/>
      <c r="K8" s="1295"/>
      <c r="L8" s="260"/>
      <c r="M8" s="1295"/>
      <c r="N8" s="1295"/>
      <c r="O8" s="260"/>
      <c r="P8" s="273"/>
      <c r="Q8" s="315"/>
      <c r="S8" s="754"/>
      <c r="T8" s="1288"/>
      <c r="U8" s="754"/>
    </row>
    <row r="9" spans="1:21" ht="13.95" customHeight="1" thickBot="1" x14ac:dyDescent="0.3">
      <c r="A9" s="166"/>
      <c r="B9" s="269"/>
      <c r="C9" s="1290"/>
      <c r="D9" s="1292"/>
      <c r="E9" s="1292"/>
      <c r="F9" s="1292"/>
      <c r="G9" s="1292"/>
      <c r="H9" s="1291"/>
      <c r="I9" s="372"/>
      <c r="J9" s="1290" t="str">
        <f>IF(VLOOKUP("KM61",Languages!$A:$D,1,TRUE)="KM61",VLOOKUP("KM61",Languages!$A:$D,Summary!$C$7,TRUE),NA())</f>
        <v>Johdon kypsyysraportti (R1)</v>
      </c>
      <c r="K9" s="1291"/>
      <c r="L9" s="372"/>
      <c r="M9" s="1290" t="str">
        <f>IF(VLOOKUP("KM61",Languages!$A:$D,1,TRUE)="KM61",VLOOKUP("KM61",Languages!$A:$D,Summary!$C$7,TRUE),NA())</f>
        <v>Johdon kypsyysraportti (R1)</v>
      </c>
      <c r="N9" s="1291"/>
      <c r="O9" s="372"/>
      <c r="P9" s="273"/>
      <c r="Q9" s="274"/>
      <c r="S9" s="754"/>
      <c r="T9" s="1288"/>
      <c r="U9" s="754"/>
    </row>
    <row r="10" spans="1:21" ht="13.95" customHeight="1" x14ac:dyDescent="0.25">
      <c r="A10" s="166"/>
      <c r="B10" s="269"/>
      <c r="C10" s="260"/>
      <c r="D10" s="260"/>
      <c r="E10" s="260"/>
      <c r="F10" s="260"/>
      <c r="G10" s="260"/>
      <c r="H10" s="260"/>
      <c r="I10" s="372"/>
      <c r="J10" s="260"/>
      <c r="K10" s="260"/>
      <c r="L10" s="260"/>
      <c r="M10" s="260"/>
      <c r="N10" s="260"/>
      <c r="O10" s="372"/>
      <c r="P10" s="273"/>
      <c r="Q10" s="274"/>
      <c r="S10" s="754"/>
      <c r="T10" s="1288"/>
      <c r="U10" s="754"/>
    </row>
    <row r="11" spans="1:21" ht="13.95" customHeight="1" thickBot="1" x14ac:dyDescent="0.3">
      <c r="A11" s="166"/>
      <c r="B11" s="356"/>
      <c r="C11" s="548" t="s">
        <v>1486</v>
      </c>
      <c r="D11" s="845" t="s">
        <v>1485</v>
      </c>
      <c r="E11" s="845" t="s">
        <v>1487</v>
      </c>
      <c r="F11" s="845" t="s">
        <v>1488</v>
      </c>
      <c r="G11" s="845" t="s">
        <v>1489</v>
      </c>
      <c r="H11" s="846" t="s">
        <v>1490</v>
      </c>
      <c r="I11" s="373"/>
      <c r="J11" s="374" t="s">
        <v>1491</v>
      </c>
      <c r="K11" s="547" t="s">
        <v>1492</v>
      </c>
      <c r="L11" s="372"/>
      <c r="M11" s="374" t="s">
        <v>1491</v>
      </c>
      <c r="N11" s="547" t="s">
        <v>1492</v>
      </c>
      <c r="O11" s="373"/>
      <c r="P11" s="273"/>
      <c r="Q11" s="274"/>
      <c r="S11" s="754"/>
      <c r="T11" s="1288"/>
      <c r="U11" s="754"/>
    </row>
    <row r="12" spans="1:21" ht="13.95" customHeight="1" x14ac:dyDescent="0.25">
      <c r="A12" s="166"/>
      <c r="B12" s="356"/>
      <c r="C12" s="843" t="s">
        <v>622</v>
      </c>
      <c r="D12" s="1101"/>
      <c r="E12" s="1102" t="s">
        <v>1447</v>
      </c>
      <c r="F12" s="1101" t="s">
        <v>1447</v>
      </c>
      <c r="G12" s="1101" t="s">
        <v>1447</v>
      </c>
      <c r="H12" s="1101"/>
      <c r="I12" s="373"/>
      <c r="J12" s="375" t="s">
        <v>1506</v>
      </c>
      <c r="K12" s="633"/>
      <c r="L12" s="372"/>
      <c r="M12" s="375" t="s">
        <v>1506</v>
      </c>
      <c r="N12" s="633"/>
      <c r="O12" s="373"/>
      <c r="P12" s="273"/>
      <c r="Q12" s="274"/>
      <c r="S12" s="754"/>
      <c r="T12" s="1288"/>
      <c r="U12" s="754"/>
    </row>
    <row r="13" spans="1:21" ht="13.95" customHeight="1" x14ac:dyDescent="0.25">
      <c r="A13" s="166"/>
      <c r="B13" s="269"/>
      <c r="C13" s="843" t="s">
        <v>619</v>
      </c>
      <c r="D13" s="1101"/>
      <c r="E13" s="1101" t="s">
        <v>1447</v>
      </c>
      <c r="F13" s="1101" t="s">
        <v>1447</v>
      </c>
      <c r="G13" s="1101" t="s">
        <v>1447</v>
      </c>
      <c r="H13" s="1101"/>
      <c r="I13" s="372"/>
      <c r="J13" s="375" t="s">
        <v>1507</v>
      </c>
      <c r="K13" s="634"/>
      <c r="L13" s="373"/>
      <c r="M13" s="375" t="s">
        <v>1507</v>
      </c>
      <c r="N13" s="634"/>
      <c r="O13" s="372"/>
      <c r="P13" s="273"/>
      <c r="Q13" s="274"/>
      <c r="S13" s="754"/>
      <c r="T13" s="1288"/>
      <c r="U13" s="754"/>
    </row>
    <row r="14" spans="1:21" ht="13.95" customHeight="1" x14ac:dyDescent="0.25">
      <c r="A14" s="166"/>
      <c r="B14" s="269"/>
      <c r="C14" s="843" t="s">
        <v>2546</v>
      </c>
      <c r="D14" s="1103"/>
      <c r="E14" s="1101" t="s">
        <v>1447</v>
      </c>
      <c r="F14" s="1103" t="s">
        <v>1447</v>
      </c>
      <c r="G14" s="1103" t="s">
        <v>1447</v>
      </c>
      <c r="H14" s="1101"/>
      <c r="I14" s="372"/>
      <c r="J14" s="375" t="s">
        <v>1508</v>
      </c>
      <c r="K14" s="635"/>
      <c r="L14" s="373"/>
      <c r="M14" s="375" t="s">
        <v>1508</v>
      </c>
      <c r="N14" s="635"/>
      <c r="O14" s="372"/>
      <c r="P14" s="273"/>
      <c r="Q14" s="274"/>
      <c r="S14" s="754"/>
      <c r="T14" s="1288"/>
      <c r="U14" s="754"/>
    </row>
    <row r="15" spans="1:21" ht="13.95" customHeight="1" x14ac:dyDescent="0.25">
      <c r="A15" s="166"/>
      <c r="B15" s="269"/>
      <c r="C15" s="843" t="s">
        <v>620</v>
      </c>
      <c r="D15" s="1101"/>
      <c r="E15" s="1101" t="s">
        <v>1447</v>
      </c>
      <c r="F15" s="1101" t="s">
        <v>1447</v>
      </c>
      <c r="G15" s="1101" t="s">
        <v>1447</v>
      </c>
      <c r="H15" s="1101"/>
      <c r="I15" s="372"/>
      <c r="J15" s="375" t="s">
        <v>1509</v>
      </c>
      <c r="K15" s="634"/>
      <c r="L15" s="372"/>
      <c r="M15" s="375" t="s">
        <v>1509</v>
      </c>
      <c r="N15" s="634"/>
      <c r="O15" s="372"/>
      <c r="P15" s="273"/>
      <c r="Q15" s="274"/>
      <c r="S15" s="754"/>
      <c r="T15" s="1288"/>
      <c r="U15" s="754"/>
    </row>
    <row r="16" spans="1:21" ht="13.95" customHeight="1" x14ac:dyDescent="0.25">
      <c r="A16" s="166"/>
      <c r="B16" s="269"/>
      <c r="C16" s="843" t="s">
        <v>621</v>
      </c>
      <c r="D16" s="1101"/>
      <c r="E16" s="1101" t="s">
        <v>1447</v>
      </c>
      <c r="F16" s="1101" t="s">
        <v>1447</v>
      </c>
      <c r="G16" s="1101" t="s">
        <v>1447</v>
      </c>
      <c r="H16" s="1101"/>
      <c r="I16" s="372"/>
      <c r="J16" s="375" t="s">
        <v>1510</v>
      </c>
      <c r="K16" s="635"/>
      <c r="L16" s="372"/>
      <c r="M16" s="375" t="s">
        <v>1510</v>
      </c>
      <c r="N16" s="635"/>
      <c r="O16" s="372"/>
      <c r="P16" s="273"/>
      <c r="Q16" s="274"/>
      <c r="S16" s="754"/>
      <c r="T16" s="1289"/>
      <c r="U16" s="754"/>
    </row>
    <row r="17" spans="1:21" ht="13.95" customHeight="1" thickBot="1" x14ac:dyDescent="0.3">
      <c r="A17" s="166"/>
      <c r="B17" s="269"/>
      <c r="C17" s="843" t="s">
        <v>1927</v>
      </c>
      <c r="D17" s="1101"/>
      <c r="E17" s="1101" t="s">
        <v>1447</v>
      </c>
      <c r="F17" s="1101" t="s">
        <v>1447</v>
      </c>
      <c r="G17" s="1101" t="s">
        <v>1447</v>
      </c>
      <c r="H17" s="1101"/>
      <c r="I17" s="372"/>
      <c r="J17" s="375"/>
      <c r="K17" s="260"/>
      <c r="L17" s="372"/>
      <c r="M17" s="260"/>
      <c r="N17" s="260"/>
      <c r="O17" s="372"/>
      <c r="P17" s="273"/>
      <c r="Q17" s="274"/>
      <c r="S17" s="754"/>
      <c r="T17" s="754"/>
      <c r="U17" s="754"/>
    </row>
    <row r="18" spans="1:21" ht="13.8" customHeight="1" thickBot="1" x14ac:dyDescent="0.3">
      <c r="A18" s="166"/>
      <c r="B18" s="269"/>
      <c r="C18" s="843" t="s">
        <v>1928</v>
      </c>
      <c r="D18" s="1110"/>
      <c r="E18" s="1101" t="s">
        <v>1447</v>
      </c>
      <c r="F18" s="1101" t="s">
        <v>1447</v>
      </c>
      <c r="G18" s="1101" t="s">
        <v>1447</v>
      </c>
      <c r="H18" s="1101"/>
      <c r="I18" s="372"/>
      <c r="J18" s="1290" t="str">
        <f>IF(VLOOKUP("KM60",Languages!$A:$D,1,TRUE)="KM60",VLOOKUP("KM60",Languages!$A:$D,Summary!$C$7,TRUE),NA())</f>
        <v>Kybermittarin kypsyysraportti (R2)</v>
      </c>
      <c r="K18" s="1291"/>
      <c r="L18" s="372"/>
      <c r="M18" s="1290" t="str">
        <f>IF(VLOOKUP("KM60",Languages!$A:$D,1,TRUE)="KM60",VLOOKUP("KM60",Languages!$A:$D,Summary!$C$7,TRUE),NA())</f>
        <v>Kybermittarin kypsyysraportti (R2)</v>
      </c>
      <c r="N18" s="1291"/>
      <c r="O18" s="372"/>
      <c r="P18" s="273"/>
      <c r="Q18" s="274"/>
    </row>
    <row r="19" spans="1:21" ht="13.95" customHeight="1" x14ac:dyDescent="0.25">
      <c r="A19" s="166"/>
      <c r="B19" s="269"/>
      <c r="C19" s="844" t="s">
        <v>1922</v>
      </c>
      <c r="D19" s="1111"/>
      <c r="E19" s="1105"/>
      <c r="F19" s="1104"/>
      <c r="G19" s="1104"/>
      <c r="H19" s="1105"/>
      <c r="I19" s="372"/>
      <c r="J19" s="260"/>
      <c r="K19" s="260"/>
      <c r="L19" s="372"/>
      <c r="M19" s="260"/>
      <c r="N19" s="260"/>
      <c r="O19" s="372"/>
      <c r="P19" s="273"/>
      <c r="Q19" s="274"/>
    </row>
    <row r="20" spans="1:21" ht="13.95" customHeight="1" thickBot="1" x14ac:dyDescent="0.3">
      <c r="A20" s="166"/>
      <c r="B20" s="269"/>
      <c r="C20" s="844" t="s">
        <v>1923</v>
      </c>
      <c r="D20" s="1111"/>
      <c r="E20" s="1105"/>
      <c r="F20" s="1104"/>
      <c r="G20" s="1104"/>
      <c r="H20" s="1105"/>
      <c r="I20" s="372"/>
      <c r="J20" s="374" t="s">
        <v>1491</v>
      </c>
      <c r="K20" s="547" t="s">
        <v>1492</v>
      </c>
      <c r="L20" s="372"/>
      <c r="M20" s="374" t="s">
        <v>1491</v>
      </c>
      <c r="N20" s="547" t="s">
        <v>1492</v>
      </c>
      <c r="O20" s="372"/>
      <c r="P20" s="273"/>
      <c r="Q20" s="274"/>
    </row>
    <row r="21" spans="1:21" ht="13.95" customHeight="1" x14ac:dyDescent="0.25">
      <c r="A21" s="166"/>
      <c r="B21" s="269"/>
      <c r="C21" s="844" t="s">
        <v>1926</v>
      </c>
      <c r="D21" s="1111"/>
      <c r="E21" s="1105"/>
      <c r="F21" s="1104"/>
      <c r="G21" s="1104"/>
      <c r="H21" s="1105"/>
      <c r="I21" s="372"/>
      <c r="J21" s="375" t="s">
        <v>56</v>
      </c>
      <c r="K21" s="377"/>
      <c r="L21" s="372"/>
      <c r="M21" s="375" t="s">
        <v>56</v>
      </c>
      <c r="N21" s="377"/>
      <c r="O21" s="372"/>
      <c r="P21" s="273"/>
      <c r="Q21" s="274"/>
    </row>
    <row r="22" spans="1:21" ht="13.95" customHeight="1" x14ac:dyDescent="0.25">
      <c r="A22" s="166"/>
      <c r="B22" s="269"/>
      <c r="C22" s="844" t="s">
        <v>1925</v>
      </c>
      <c r="D22" s="1111"/>
      <c r="E22" s="1105"/>
      <c r="F22" s="1104"/>
      <c r="G22" s="1104"/>
      <c r="H22" s="1105"/>
      <c r="I22" s="372"/>
      <c r="J22" s="375" t="s">
        <v>48</v>
      </c>
      <c r="K22" s="376"/>
      <c r="L22" s="372"/>
      <c r="M22" s="375" t="s">
        <v>48</v>
      </c>
      <c r="N22" s="376"/>
      <c r="O22" s="372"/>
      <c r="P22" s="273"/>
      <c r="Q22" s="274"/>
    </row>
    <row r="23" spans="1:21" ht="13.95" customHeight="1" x14ac:dyDescent="0.25">
      <c r="A23" s="166"/>
      <c r="B23" s="269"/>
      <c r="C23" s="844" t="s">
        <v>1924</v>
      </c>
      <c r="D23" s="1111"/>
      <c r="E23" s="1105"/>
      <c r="F23" s="1104"/>
      <c r="G23" s="1104"/>
      <c r="H23" s="1105"/>
      <c r="I23" s="372"/>
      <c r="J23" s="375" t="s">
        <v>64</v>
      </c>
      <c r="K23" s="378"/>
      <c r="L23" s="260"/>
      <c r="M23" s="375" t="s">
        <v>64</v>
      </c>
      <c r="N23" s="378"/>
      <c r="O23" s="260"/>
      <c r="P23" s="273"/>
      <c r="Q23" s="274"/>
    </row>
    <row r="24" spans="1:21" ht="22.05" customHeight="1" x14ac:dyDescent="0.25">
      <c r="A24" s="166"/>
      <c r="B24" s="269"/>
      <c r="C24" s="844" t="s">
        <v>59</v>
      </c>
      <c r="D24" s="1105"/>
      <c r="E24" s="1105"/>
      <c r="F24" s="1105"/>
      <c r="G24" s="1105"/>
      <c r="H24" s="1105"/>
      <c r="I24" s="372"/>
      <c r="J24" s="375" t="s">
        <v>0</v>
      </c>
      <c r="K24" s="376"/>
      <c r="L24" s="260"/>
      <c r="M24" s="375" t="s">
        <v>0</v>
      </c>
      <c r="N24" s="376"/>
      <c r="O24" s="260"/>
      <c r="P24" s="273"/>
      <c r="Q24" s="274"/>
    </row>
    <row r="25" spans="1:21" ht="22.05" customHeight="1" x14ac:dyDescent="0.25">
      <c r="A25" s="166"/>
      <c r="B25" s="269"/>
      <c r="C25" s="844" t="s">
        <v>61</v>
      </c>
      <c r="D25" s="1105"/>
      <c r="E25" s="1105"/>
      <c r="F25" s="1105"/>
      <c r="G25" s="1105"/>
      <c r="H25" s="1105"/>
      <c r="I25" s="372"/>
      <c r="J25" s="375" t="s">
        <v>59</v>
      </c>
      <c r="K25" s="378"/>
      <c r="L25" s="260"/>
      <c r="M25" s="375" t="s">
        <v>59</v>
      </c>
      <c r="N25" s="378"/>
      <c r="O25" s="640"/>
      <c r="P25" s="273"/>
      <c r="Q25" s="274"/>
    </row>
    <row r="26" spans="1:21" ht="22.05" customHeight="1" x14ac:dyDescent="0.25">
      <c r="A26" s="166"/>
      <c r="B26" s="269"/>
      <c r="C26" s="844" t="s">
        <v>63</v>
      </c>
      <c r="D26" s="1105"/>
      <c r="E26" s="1105"/>
      <c r="F26" s="1105"/>
      <c r="G26" s="1105"/>
      <c r="H26" s="1105"/>
      <c r="I26" s="372"/>
      <c r="J26" s="375" t="s">
        <v>67</v>
      </c>
      <c r="K26" s="376"/>
      <c r="L26" s="260"/>
      <c r="M26" s="375" t="s">
        <v>67</v>
      </c>
      <c r="N26" s="376"/>
      <c r="O26" s="546"/>
      <c r="P26" s="273"/>
      <c r="Q26" s="274"/>
    </row>
    <row r="27" spans="1:21" ht="22.05" customHeight="1" x14ac:dyDescent="0.25">
      <c r="A27" s="166"/>
      <c r="B27" s="269"/>
      <c r="C27" s="844" t="s">
        <v>66</v>
      </c>
      <c r="D27" s="1105"/>
      <c r="E27" s="1105"/>
      <c r="F27" s="1105"/>
      <c r="G27" s="1105"/>
      <c r="H27" s="1105"/>
      <c r="I27" s="372"/>
      <c r="J27" s="375" t="s">
        <v>69</v>
      </c>
      <c r="K27" s="378"/>
      <c r="L27" s="260"/>
      <c r="M27" s="375" t="s">
        <v>69</v>
      </c>
      <c r="N27" s="378"/>
      <c r="O27" s="260"/>
      <c r="P27" s="273"/>
      <c r="Q27" s="274"/>
    </row>
    <row r="28" spans="1:21" ht="22.05" customHeight="1" x14ac:dyDescent="0.25">
      <c r="A28" s="166"/>
      <c r="B28" s="269"/>
      <c r="C28" s="844" t="s">
        <v>1017</v>
      </c>
      <c r="D28" s="1105"/>
      <c r="E28" s="1105"/>
      <c r="F28" s="1105"/>
      <c r="G28" s="1105"/>
      <c r="H28" s="1105"/>
      <c r="I28" s="372"/>
      <c r="J28" s="375" t="s">
        <v>2619</v>
      </c>
      <c r="K28" s="376"/>
      <c r="L28" s="260"/>
      <c r="M28" s="375" t="s">
        <v>2619</v>
      </c>
      <c r="N28" s="376"/>
      <c r="O28" s="372"/>
      <c r="P28" s="273"/>
      <c r="Q28" s="274"/>
    </row>
    <row r="29" spans="1:21" ht="22.05" customHeight="1" x14ac:dyDescent="0.25">
      <c r="A29" s="166"/>
      <c r="B29" s="269"/>
      <c r="C29" s="844" t="s">
        <v>77</v>
      </c>
      <c r="D29" s="1105"/>
      <c r="E29" s="1105"/>
      <c r="F29" s="1105"/>
      <c r="G29" s="1105"/>
      <c r="H29" s="1105"/>
      <c r="I29" s="372"/>
      <c r="J29" s="375" t="s">
        <v>74</v>
      </c>
      <c r="K29" s="378"/>
      <c r="L29" s="260"/>
      <c r="M29" s="375" t="s">
        <v>74</v>
      </c>
      <c r="N29" s="378"/>
      <c r="O29" s="372"/>
      <c r="P29" s="273"/>
      <c r="Q29" s="274"/>
    </row>
    <row r="30" spans="1:21" ht="22.05" customHeight="1" x14ac:dyDescent="0.25">
      <c r="A30" s="166"/>
      <c r="B30" s="269"/>
      <c r="C30" s="844" t="s">
        <v>115</v>
      </c>
      <c r="D30" s="1105"/>
      <c r="E30" s="1105"/>
      <c r="F30" s="1105"/>
      <c r="G30" s="1105"/>
      <c r="H30" s="1105"/>
      <c r="I30" s="372"/>
      <c r="J30" s="375" t="s">
        <v>77</v>
      </c>
      <c r="K30" s="376"/>
      <c r="L30" s="260"/>
      <c r="M30" s="375" t="s">
        <v>77</v>
      </c>
      <c r="N30" s="376"/>
      <c r="O30" s="373"/>
      <c r="P30" s="273"/>
      <c r="Q30" s="274"/>
    </row>
    <row r="31" spans="1:21" ht="22.05" customHeight="1" thickBot="1" x14ac:dyDescent="0.3">
      <c r="A31" s="166"/>
      <c r="B31" s="269"/>
      <c r="C31" s="844" t="s">
        <v>118</v>
      </c>
      <c r="D31" s="1105"/>
      <c r="E31" s="1105"/>
      <c r="F31" s="1105"/>
      <c r="G31" s="1105"/>
      <c r="H31" s="1105"/>
      <c r="I31" s="372"/>
      <c r="J31" s="375" t="s">
        <v>79</v>
      </c>
      <c r="K31" s="379"/>
      <c r="L31" s="260"/>
      <c r="M31" s="375" t="s">
        <v>79</v>
      </c>
      <c r="N31" s="379"/>
      <c r="O31" s="373"/>
      <c r="P31" s="273"/>
      <c r="Q31" s="274"/>
    </row>
    <row r="32" spans="1:21" ht="22.05" customHeight="1" x14ac:dyDescent="0.25">
      <c r="A32" s="166"/>
      <c r="B32" s="269"/>
      <c r="C32" s="844" t="s">
        <v>121</v>
      </c>
      <c r="D32" s="1105"/>
      <c r="E32" s="1105"/>
      <c r="F32" s="1105"/>
      <c r="G32" s="1105"/>
      <c r="H32" s="1105"/>
      <c r="I32" s="372"/>
      <c r="J32" s="260"/>
      <c r="K32" s="260"/>
      <c r="L32" s="260"/>
      <c r="M32" s="372"/>
      <c r="N32" s="372"/>
      <c r="O32" s="372"/>
      <c r="P32" s="273"/>
      <c r="Q32" s="274"/>
    </row>
    <row r="33" spans="1:17" ht="22.05" customHeight="1" x14ac:dyDescent="0.25">
      <c r="A33" s="166"/>
      <c r="B33" s="269"/>
      <c r="C33" s="844" t="s">
        <v>124</v>
      </c>
      <c r="D33" s="1105"/>
      <c r="E33" s="1105"/>
      <c r="F33" s="1105"/>
      <c r="G33" s="1105"/>
      <c r="H33" s="1105"/>
      <c r="I33" s="372"/>
      <c r="J33" s="260"/>
      <c r="K33" s="260"/>
      <c r="L33" s="260"/>
      <c r="M33" s="372"/>
      <c r="N33" s="372"/>
      <c r="O33" s="372"/>
      <c r="P33" s="273"/>
      <c r="Q33" s="274"/>
    </row>
    <row r="34" spans="1:17" ht="22.05" customHeight="1" x14ac:dyDescent="0.25">
      <c r="A34" s="166"/>
      <c r="B34" s="269"/>
      <c r="C34" s="844" t="s">
        <v>127</v>
      </c>
      <c r="D34" s="1105"/>
      <c r="E34" s="1105"/>
      <c r="F34" s="1105"/>
      <c r="G34" s="1105"/>
      <c r="H34" s="1105"/>
      <c r="I34" s="372"/>
      <c r="J34" s="260"/>
      <c r="K34" s="260"/>
      <c r="L34" s="260"/>
      <c r="M34" s="372"/>
      <c r="N34" s="372"/>
      <c r="O34" s="372"/>
      <c r="P34" s="273"/>
      <c r="Q34" s="274"/>
    </row>
    <row r="35" spans="1:17" ht="22.05" customHeight="1" x14ac:dyDescent="0.25">
      <c r="A35" s="166"/>
      <c r="B35" s="269"/>
      <c r="C35" s="844" t="s">
        <v>1027</v>
      </c>
      <c r="D35" s="1105"/>
      <c r="E35" s="1105"/>
      <c r="F35" s="1105"/>
      <c r="G35" s="1105"/>
      <c r="H35" s="1105"/>
      <c r="I35" s="372"/>
      <c r="J35" s="260"/>
      <c r="K35" s="260"/>
      <c r="L35" s="260"/>
      <c r="M35" s="372"/>
      <c r="N35" s="372"/>
      <c r="O35" s="372"/>
      <c r="P35" s="273"/>
      <c r="Q35" s="274"/>
    </row>
    <row r="36" spans="1:17" ht="22.05" customHeight="1" x14ac:dyDescent="0.25">
      <c r="A36" s="166"/>
      <c r="B36" s="269"/>
      <c r="C36" s="844" t="s">
        <v>48</v>
      </c>
      <c r="D36" s="1105"/>
      <c r="E36" s="1105"/>
      <c r="F36" s="1105"/>
      <c r="G36" s="1105"/>
      <c r="H36" s="1105"/>
      <c r="I36" s="372"/>
      <c r="J36" s="260"/>
      <c r="K36" s="260"/>
      <c r="L36" s="260"/>
      <c r="M36" s="372"/>
      <c r="N36" s="372"/>
      <c r="O36" s="372"/>
      <c r="P36" s="273"/>
      <c r="Q36" s="274"/>
    </row>
    <row r="37" spans="1:17" ht="22.05" customHeight="1" x14ac:dyDescent="0.25">
      <c r="A37" s="166"/>
      <c r="B37" s="269"/>
      <c r="C37" s="844" t="s">
        <v>50</v>
      </c>
      <c r="D37" s="1105"/>
      <c r="E37" s="1105"/>
      <c r="F37" s="1105"/>
      <c r="G37" s="1105"/>
      <c r="H37" s="1105"/>
      <c r="I37" s="372"/>
      <c r="J37" s="260"/>
      <c r="K37" s="260"/>
      <c r="L37" s="260"/>
      <c r="M37" s="372"/>
      <c r="N37" s="372"/>
      <c r="O37" s="372"/>
      <c r="P37" s="273"/>
      <c r="Q37" s="274"/>
    </row>
    <row r="38" spans="1:17" ht="22.05" customHeight="1" x14ac:dyDescent="0.25">
      <c r="A38" s="166"/>
      <c r="B38" s="269"/>
      <c r="C38" s="844" t="s">
        <v>52</v>
      </c>
      <c r="D38" s="1105"/>
      <c r="E38" s="1105"/>
      <c r="F38" s="1105"/>
      <c r="G38" s="1105"/>
      <c r="H38" s="1105"/>
      <c r="I38" s="372"/>
      <c r="J38" s="260"/>
      <c r="K38" s="260"/>
      <c r="L38" s="260"/>
      <c r="M38" s="372"/>
      <c r="N38" s="372"/>
      <c r="O38" s="372"/>
      <c r="P38" s="273"/>
      <c r="Q38" s="274"/>
    </row>
    <row r="39" spans="1:17" ht="22.05" customHeight="1" x14ac:dyDescent="0.25">
      <c r="A39" s="166"/>
      <c r="B39" s="269"/>
      <c r="C39" s="844" t="s">
        <v>54</v>
      </c>
      <c r="D39" s="1105"/>
      <c r="E39" s="1105"/>
      <c r="F39" s="1105"/>
      <c r="G39" s="1105"/>
      <c r="H39" s="1105"/>
      <c r="I39" s="372"/>
      <c r="J39" s="260"/>
      <c r="K39" s="260"/>
      <c r="L39" s="260"/>
      <c r="M39" s="372"/>
      <c r="N39" s="372"/>
      <c r="O39" s="372"/>
      <c r="P39" s="273"/>
      <c r="Q39" s="274"/>
    </row>
    <row r="40" spans="1:17" ht="22.05" customHeight="1" x14ac:dyDescent="0.25">
      <c r="A40" s="166"/>
      <c r="B40" s="269"/>
      <c r="C40" s="844" t="s">
        <v>55</v>
      </c>
      <c r="D40" s="1105"/>
      <c r="E40" s="1105"/>
      <c r="F40" s="1105"/>
      <c r="G40" s="1105"/>
      <c r="H40" s="1105"/>
      <c r="I40" s="372"/>
      <c r="J40" s="260"/>
      <c r="K40" s="260"/>
      <c r="L40" s="260"/>
      <c r="M40" s="372"/>
      <c r="N40" s="372"/>
      <c r="O40" s="372"/>
      <c r="P40" s="273"/>
      <c r="Q40" s="274"/>
    </row>
    <row r="41" spans="1:17" ht="22.05" customHeight="1" x14ac:dyDescent="0.25">
      <c r="A41" s="166"/>
      <c r="B41" s="269"/>
      <c r="C41" s="844" t="s">
        <v>57</v>
      </c>
      <c r="D41" s="1105"/>
      <c r="E41" s="1105"/>
      <c r="F41" s="1105"/>
      <c r="G41" s="1105"/>
      <c r="H41" s="1105"/>
      <c r="I41" s="372"/>
      <c r="J41" s="260"/>
      <c r="K41" s="260"/>
      <c r="L41" s="260"/>
      <c r="M41" s="372"/>
      <c r="N41" s="372"/>
      <c r="O41" s="372"/>
      <c r="P41" s="273"/>
      <c r="Q41" s="274"/>
    </row>
    <row r="42" spans="1:17" ht="22.05" customHeight="1" x14ac:dyDescent="0.25">
      <c r="A42" s="166"/>
      <c r="B42" s="269"/>
      <c r="C42" s="844" t="s">
        <v>56</v>
      </c>
      <c r="D42" s="1105"/>
      <c r="E42" s="1105"/>
      <c r="F42" s="1105"/>
      <c r="G42" s="1105"/>
      <c r="H42" s="1105"/>
      <c r="I42" s="372"/>
      <c r="J42" s="260"/>
      <c r="K42" s="260"/>
      <c r="L42" s="260"/>
      <c r="M42" s="260"/>
      <c r="N42" s="260"/>
      <c r="O42" s="260"/>
      <c r="P42" s="273"/>
      <c r="Q42" s="274"/>
    </row>
    <row r="43" spans="1:17" ht="22.05" customHeight="1" x14ac:dyDescent="0.25">
      <c r="A43" s="166"/>
      <c r="B43" s="269"/>
      <c r="C43" s="844" t="s">
        <v>147</v>
      </c>
      <c r="D43" s="1105"/>
      <c r="E43" s="1105"/>
      <c r="F43" s="1105"/>
      <c r="G43" s="1105"/>
      <c r="H43" s="1105"/>
      <c r="I43" s="372"/>
      <c r="J43" s="260"/>
      <c r="K43" s="260"/>
      <c r="L43" s="260"/>
      <c r="M43" s="260"/>
      <c r="N43" s="260"/>
      <c r="O43" s="260"/>
      <c r="P43" s="273"/>
      <c r="Q43" s="274"/>
    </row>
    <row r="44" spans="1:17" ht="22.05" customHeight="1" x14ac:dyDescent="0.25">
      <c r="A44" s="166"/>
      <c r="B44" s="269"/>
      <c r="C44" s="844" t="s">
        <v>149</v>
      </c>
      <c r="D44" s="1105"/>
      <c r="E44" s="1105"/>
      <c r="F44" s="1105"/>
      <c r="G44" s="1105"/>
      <c r="H44" s="1105"/>
      <c r="I44" s="372"/>
      <c r="J44" s="260"/>
      <c r="K44" s="260"/>
      <c r="L44" s="260"/>
      <c r="M44" s="260"/>
      <c r="N44" s="260"/>
      <c r="O44" s="260"/>
      <c r="P44" s="273"/>
      <c r="Q44" s="274"/>
    </row>
    <row r="45" spans="1:17" ht="22.05" customHeight="1" x14ac:dyDescent="0.25">
      <c r="A45" s="166"/>
      <c r="B45" s="269"/>
      <c r="C45" s="844" t="s">
        <v>151</v>
      </c>
      <c r="D45" s="1105"/>
      <c r="E45" s="1105"/>
      <c r="F45" s="1105"/>
      <c r="G45" s="1105"/>
      <c r="H45" s="1105"/>
      <c r="I45" s="372"/>
      <c r="J45" s="260"/>
      <c r="K45" s="260"/>
      <c r="L45" s="260"/>
      <c r="M45" s="260"/>
      <c r="N45" s="260"/>
      <c r="O45" s="260"/>
      <c r="P45" s="273"/>
      <c r="Q45" s="274"/>
    </row>
    <row r="46" spans="1:17" ht="22.05" customHeight="1" x14ac:dyDescent="0.25">
      <c r="A46" s="166"/>
      <c r="B46" s="269"/>
      <c r="C46" s="844" t="s">
        <v>79</v>
      </c>
      <c r="D46" s="1105"/>
      <c r="E46" s="1105"/>
      <c r="F46" s="1105"/>
      <c r="G46" s="1105"/>
      <c r="H46" s="1105"/>
      <c r="I46" s="372"/>
      <c r="J46" s="260"/>
      <c r="K46" s="260"/>
      <c r="L46" s="260"/>
      <c r="M46" s="260"/>
      <c r="N46" s="260"/>
      <c r="O46" s="260"/>
      <c r="P46" s="273"/>
      <c r="Q46" s="274"/>
    </row>
    <row r="47" spans="1:17" ht="22.05" customHeight="1" x14ac:dyDescent="0.25">
      <c r="A47" s="166"/>
      <c r="B47" s="269"/>
      <c r="C47" s="844" t="s">
        <v>132</v>
      </c>
      <c r="D47" s="1105"/>
      <c r="E47" s="1105"/>
      <c r="F47" s="1105"/>
      <c r="G47" s="1105"/>
      <c r="H47" s="1105"/>
      <c r="I47" s="372"/>
      <c r="J47" s="260"/>
      <c r="K47" s="260"/>
      <c r="L47" s="260"/>
      <c r="M47" s="260"/>
      <c r="N47" s="260"/>
      <c r="O47" s="260"/>
      <c r="P47" s="273"/>
      <c r="Q47" s="274"/>
    </row>
    <row r="48" spans="1:17" ht="22.05" customHeight="1" x14ac:dyDescent="0.25">
      <c r="A48" s="166"/>
      <c r="B48" s="269"/>
      <c r="C48" s="844" t="s">
        <v>135</v>
      </c>
      <c r="D48" s="1105"/>
      <c r="E48" s="1105"/>
      <c r="F48" s="1105"/>
      <c r="G48" s="1105"/>
      <c r="H48" s="1105"/>
      <c r="I48" s="372"/>
      <c r="J48" s="260"/>
      <c r="K48" s="260"/>
      <c r="L48" s="260"/>
      <c r="M48" s="260"/>
      <c r="N48" s="260"/>
      <c r="O48" s="260"/>
      <c r="P48" s="273"/>
      <c r="Q48" s="274"/>
    </row>
    <row r="49" spans="1:17" ht="22.05" customHeight="1" x14ac:dyDescent="0.25">
      <c r="A49" s="166"/>
      <c r="B49" s="269"/>
      <c r="C49" s="844" t="s">
        <v>138</v>
      </c>
      <c r="D49" s="1105"/>
      <c r="E49" s="1105"/>
      <c r="F49" s="1105"/>
      <c r="G49" s="1105"/>
      <c r="H49" s="1105"/>
      <c r="I49" s="372"/>
      <c r="J49" s="260"/>
      <c r="K49" s="260"/>
      <c r="L49" s="260"/>
      <c r="M49" s="260"/>
      <c r="N49" s="260"/>
      <c r="O49" s="260"/>
      <c r="P49" s="273"/>
      <c r="Q49" s="274"/>
    </row>
    <row r="50" spans="1:17" ht="22.05" customHeight="1" x14ac:dyDescent="0.25">
      <c r="A50" s="166"/>
      <c r="B50" s="269"/>
      <c r="C50" s="844" t="s">
        <v>69</v>
      </c>
      <c r="D50" s="1105"/>
      <c r="E50" s="1105"/>
      <c r="F50" s="1105"/>
      <c r="G50" s="1105"/>
      <c r="H50" s="1105"/>
      <c r="I50" s="372"/>
      <c r="J50" s="260"/>
      <c r="K50" s="260"/>
      <c r="L50" s="260"/>
      <c r="M50" s="260"/>
      <c r="N50" s="260"/>
      <c r="O50" s="260"/>
      <c r="P50" s="273"/>
      <c r="Q50" s="274"/>
    </row>
    <row r="51" spans="1:17" ht="22.05" customHeight="1" x14ac:dyDescent="0.25">
      <c r="A51" s="166"/>
      <c r="B51" s="269"/>
      <c r="C51" s="844" t="s">
        <v>90</v>
      </c>
      <c r="D51" s="1105"/>
      <c r="E51" s="1105"/>
      <c r="F51" s="1105"/>
      <c r="G51" s="1105"/>
      <c r="H51" s="1105"/>
      <c r="I51" s="372"/>
      <c r="J51" s="260"/>
      <c r="K51" s="260"/>
      <c r="L51" s="260"/>
      <c r="M51" s="260"/>
      <c r="N51" s="260"/>
      <c r="O51" s="260"/>
      <c r="P51" s="273"/>
      <c r="Q51" s="274"/>
    </row>
    <row r="52" spans="1:17" ht="22.05" customHeight="1" x14ac:dyDescent="0.25">
      <c r="A52" s="166"/>
      <c r="B52" s="269"/>
      <c r="C52" s="844" t="s">
        <v>92</v>
      </c>
      <c r="D52" s="1105"/>
      <c r="E52" s="1105"/>
      <c r="F52" s="1105"/>
      <c r="G52" s="1105"/>
      <c r="H52" s="1105"/>
      <c r="I52" s="372"/>
      <c r="J52" s="260"/>
      <c r="K52" s="260"/>
      <c r="L52" s="260"/>
      <c r="M52" s="260"/>
      <c r="N52" s="260"/>
      <c r="O52" s="260"/>
      <c r="P52" s="273"/>
      <c r="Q52" s="274"/>
    </row>
    <row r="53" spans="1:17" ht="22.05" customHeight="1" x14ac:dyDescent="0.25">
      <c r="A53" s="166"/>
      <c r="B53" s="269"/>
      <c r="C53" s="844" t="s">
        <v>94</v>
      </c>
      <c r="D53" s="1105"/>
      <c r="E53" s="1105"/>
      <c r="F53" s="1105"/>
      <c r="G53" s="1105"/>
      <c r="H53" s="1105"/>
      <c r="I53" s="372"/>
      <c r="J53" s="260"/>
      <c r="K53" s="260"/>
      <c r="L53" s="260"/>
      <c r="M53" s="260"/>
      <c r="N53" s="260"/>
      <c r="O53" s="260"/>
      <c r="P53" s="273"/>
      <c r="Q53" s="274"/>
    </row>
    <row r="54" spans="1:17" ht="22.05" customHeight="1" x14ac:dyDescent="0.25">
      <c r="A54" s="166"/>
      <c r="B54" s="269"/>
      <c r="C54" s="844" t="s">
        <v>96</v>
      </c>
      <c r="D54" s="1105"/>
      <c r="E54" s="1105"/>
      <c r="F54" s="1105"/>
      <c r="G54" s="1105"/>
      <c r="H54" s="1105"/>
      <c r="I54" s="372"/>
      <c r="J54" s="260"/>
      <c r="K54" s="260"/>
      <c r="L54" s="260"/>
      <c r="M54" s="260"/>
      <c r="N54" s="260"/>
      <c r="O54" s="260"/>
      <c r="P54" s="273"/>
      <c r="Q54" s="274"/>
    </row>
    <row r="55" spans="1:17" ht="22.05" customHeight="1" x14ac:dyDescent="0.25">
      <c r="A55" s="166"/>
      <c r="B55" s="269"/>
      <c r="C55" s="844" t="s">
        <v>1025</v>
      </c>
      <c r="D55" s="1105"/>
      <c r="E55" s="1105"/>
      <c r="F55" s="1105"/>
      <c r="G55" s="1105"/>
      <c r="H55" s="1105"/>
      <c r="I55" s="372"/>
      <c r="J55" s="260"/>
      <c r="K55" s="260"/>
      <c r="L55" s="260"/>
      <c r="M55" s="260"/>
      <c r="N55" s="260"/>
      <c r="O55" s="260"/>
      <c r="P55" s="273"/>
      <c r="Q55" s="274"/>
    </row>
    <row r="56" spans="1:17" ht="22.05" customHeight="1" x14ac:dyDescent="0.25">
      <c r="A56" s="166"/>
      <c r="B56" s="269"/>
      <c r="C56" s="844" t="s">
        <v>0</v>
      </c>
      <c r="D56" s="1105"/>
      <c r="E56" s="1105"/>
      <c r="F56" s="1105"/>
      <c r="G56" s="1105"/>
      <c r="H56" s="1105"/>
      <c r="I56" s="372"/>
      <c r="J56" s="260"/>
      <c r="K56" s="260"/>
      <c r="L56" s="260"/>
      <c r="M56" s="260"/>
      <c r="N56" s="260"/>
      <c r="O56" s="260"/>
      <c r="P56" s="273"/>
      <c r="Q56" s="274"/>
    </row>
    <row r="57" spans="1:17" ht="22.05" customHeight="1" x14ac:dyDescent="0.25">
      <c r="A57" s="166"/>
      <c r="B57" s="269"/>
      <c r="C57" s="844" t="s">
        <v>40</v>
      </c>
      <c r="D57" s="1105"/>
      <c r="E57" s="1105"/>
      <c r="F57" s="1105"/>
      <c r="G57" s="1105"/>
      <c r="H57" s="1105"/>
      <c r="I57" s="372"/>
      <c r="J57" s="260"/>
      <c r="K57" s="260"/>
      <c r="L57" s="260"/>
      <c r="M57" s="260"/>
      <c r="N57" s="260"/>
      <c r="O57" s="260"/>
      <c r="P57" s="273"/>
      <c r="Q57" s="274"/>
    </row>
    <row r="58" spans="1:17" ht="22.05" customHeight="1" x14ac:dyDescent="0.25">
      <c r="A58" s="166"/>
      <c r="B58" s="269"/>
      <c r="C58" s="844" t="s">
        <v>44</v>
      </c>
      <c r="D58" s="1105"/>
      <c r="E58" s="1105"/>
      <c r="F58" s="1105"/>
      <c r="G58" s="1105"/>
      <c r="H58" s="1105"/>
      <c r="I58" s="372"/>
      <c r="J58" s="260"/>
      <c r="K58" s="260"/>
      <c r="L58" s="260"/>
      <c r="M58" s="260"/>
      <c r="N58" s="260"/>
      <c r="O58" s="260"/>
      <c r="P58" s="273"/>
      <c r="Q58" s="274"/>
    </row>
    <row r="59" spans="1:17" ht="22.05" customHeight="1" x14ac:dyDescent="0.25">
      <c r="A59" s="166"/>
      <c r="B59" s="269"/>
      <c r="C59" s="844" t="s">
        <v>46</v>
      </c>
      <c r="D59" s="1105"/>
      <c r="E59" s="1105"/>
      <c r="F59" s="1105"/>
      <c r="G59" s="1105"/>
      <c r="H59" s="1105"/>
      <c r="I59" s="372"/>
      <c r="J59" s="260"/>
      <c r="K59" s="260"/>
      <c r="L59" s="260"/>
      <c r="M59" s="260"/>
      <c r="N59" s="260"/>
      <c r="O59" s="260"/>
      <c r="P59" s="273"/>
      <c r="Q59" s="274"/>
    </row>
    <row r="60" spans="1:17" ht="22.05" customHeight="1" x14ac:dyDescent="0.25">
      <c r="A60" s="166"/>
      <c r="B60" s="269"/>
      <c r="C60" s="844" t="s">
        <v>1015</v>
      </c>
      <c r="D60" s="1105"/>
      <c r="E60" s="1105"/>
      <c r="F60" s="1105"/>
      <c r="G60" s="1105"/>
      <c r="H60" s="1105"/>
      <c r="I60" s="372"/>
      <c r="J60" s="260"/>
      <c r="K60" s="260"/>
      <c r="L60" s="260"/>
      <c r="M60" s="260"/>
      <c r="N60" s="260"/>
      <c r="O60" s="260"/>
      <c r="P60" s="273"/>
      <c r="Q60" s="274"/>
    </row>
    <row r="61" spans="1:17" ht="22.05" customHeight="1" x14ac:dyDescent="0.25">
      <c r="A61" s="166"/>
      <c r="B61" s="269"/>
      <c r="C61" s="844" t="s">
        <v>1016</v>
      </c>
      <c r="D61" s="1105"/>
      <c r="E61" s="1105"/>
      <c r="F61" s="1105"/>
      <c r="G61" s="1105"/>
      <c r="H61" s="1105"/>
      <c r="I61" s="372"/>
      <c r="J61" s="260"/>
      <c r="K61" s="260"/>
      <c r="L61" s="260"/>
      <c r="M61" s="260"/>
      <c r="N61" s="260"/>
      <c r="O61" s="260"/>
      <c r="P61" s="273"/>
      <c r="Q61" s="274"/>
    </row>
    <row r="62" spans="1:17" ht="22.05" customHeight="1" x14ac:dyDescent="0.25">
      <c r="A62" s="166"/>
      <c r="B62" s="269"/>
      <c r="C62" s="844" t="s">
        <v>67</v>
      </c>
      <c r="D62" s="1105"/>
      <c r="E62" s="1105"/>
      <c r="F62" s="1105"/>
      <c r="G62" s="1105"/>
      <c r="H62" s="1105"/>
      <c r="I62" s="372"/>
      <c r="J62" s="260"/>
      <c r="K62" s="260"/>
      <c r="L62" s="260"/>
      <c r="M62" s="260"/>
      <c r="N62" s="260"/>
      <c r="O62" s="260"/>
      <c r="P62" s="273"/>
      <c r="Q62" s="274"/>
    </row>
    <row r="63" spans="1:17" ht="22.05" customHeight="1" x14ac:dyDescent="0.25">
      <c r="A63" s="166"/>
      <c r="B63" s="269"/>
      <c r="C63" s="844" t="s">
        <v>81</v>
      </c>
      <c r="D63" s="1105"/>
      <c r="E63" s="1105"/>
      <c r="F63" s="1105"/>
      <c r="G63" s="1105"/>
      <c r="H63" s="1105"/>
      <c r="I63" s="372"/>
      <c r="J63" s="260"/>
      <c r="K63" s="260"/>
      <c r="L63" s="260"/>
      <c r="M63" s="260"/>
      <c r="N63" s="260"/>
      <c r="O63" s="260"/>
      <c r="P63" s="273"/>
      <c r="Q63" s="274"/>
    </row>
    <row r="64" spans="1:17" ht="22.05" customHeight="1" x14ac:dyDescent="0.25">
      <c r="A64" s="166"/>
      <c r="B64" s="269"/>
      <c r="C64" s="844" t="s">
        <v>83</v>
      </c>
      <c r="D64" s="1105"/>
      <c r="E64" s="1105"/>
      <c r="F64" s="1105"/>
      <c r="G64" s="1105"/>
      <c r="H64" s="1105"/>
      <c r="I64" s="372"/>
      <c r="J64" s="260"/>
      <c r="K64" s="260"/>
      <c r="L64" s="260"/>
      <c r="M64" s="260"/>
      <c r="N64" s="260"/>
      <c r="O64" s="260"/>
      <c r="P64" s="273"/>
      <c r="Q64" s="274"/>
    </row>
    <row r="65" spans="1:17" ht="22.05" customHeight="1" x14ac:dyDescent="0.25">
      <c r="A65" s="166"/>
      <c r="B65" s="269"/>
      <c r="C65" s="844" t="s">
        <v>85</v>
      </c>
      <c r="D65" s="1105"/>
      <c r="E65" s="1105"/>
      <c r="F65" s="1105"/>
      <c r="G65" s="1105"/>
      <c r="H65" s="1105"/>
      <c r="I65" s="372"/>
      <c r="J65" s="260"/>
      <c r="K65" s="260"/>
      <c r="L65" s="260"/>
      <c r="M65" s="260"/>
      <c r="N65" s="260"/>
      <c r="O65" s="260"/>
      <c r="P65" s="273"/>
      <c r="Q65" s="274"/>
    </row>
    <row r="66" spans="1:17" ht="22.05" customHeight="1" x14ac:dyDescent="0.25">
      <c r="A66" s="166"/>
      <c r="B66" s="269"/>
      <c r="C66" s="844" t="s">
        <v>87</v>
      </c>
      <c r="D66" s="1105"/>
      <c r="E66" s="1105"/>
      <c r="F66" s="1105"/>
      <c r="G66" s="1105"/>
      <c r="H66" s="1105"/>
      <c r="I66" s="372"/>
      <c r="J66" s="260"/>
      <c r="K66" s="260"/>
      <c r="L66" s="260"/>
      <c r="M66" s="260"/>
      <c r="N66" s="260"/>
      <c r="O66" s="260"/>
      <c r="P66" s="273"/>
      <c r="Q66" s="274"/>
    </row>
    <row r="67" spans="1:17" ht="22.05" customHeight="1" x14ac:dyDescent="0.25">
      <c r="A67" s="166"/>
      <c r="B67" s="269"/>
      <c r="C67" s="844" t="s">
        <v>2619</v>
      </c>
      <c r="D67" s="1105"/>
      <c r="E67" s="1105"/>
      <c r="F67" s="1105"/>
      <c r="G67" s="1105"/>
      <c r="H67" s="1105"/>
      <c r="I67" s="372"/>
      <c r="J67" s="260"/>
      <c r="K67" s="260"/>
      <c r="L67" s="260"/>
      <c r="M67" s="260"/>
      <c r="N67" s="260"/>
      <c r="O67" s="260"/>
      <c r="P67" s="273"/>
      <c r="Q67" s="274"/>
    </row>
    <row r="68" spans="1:17" ht="22.05" customHeight="1" x14ac:dyDescent="0.25">
      <c r="A68" s="166"/>
      <c r="B68" s="269"/>
      <c r="C68" s="844" t="s">
        <v>2621</v>
      </c>
      <c r="D68" s="1105"/>
      <c r="E68" s="1105"/>
      <c r="F68" s="1105"/>
      <c r="G68" s="1105"/>
      <c r="H68" s="1105"/>
      <c r="I68" s="372"/>
      <c r="J68" s="260"/>
      <c r="K68" s="260"/>
      <c r="L68" s="260"/>
      <c r="M68" s="260"/>
      <c r="N68" s="260"/>
      <c r="O68" s="260"/>
      <c r="P68" s="273"/>
      <c r="Q68" s="274"/>
    </row>
    <row r="69" spans="1:17" ht="22.05" customHeight="1" x14ac:dyDescent="0.25">
      <c r="A69" s="166"/>
      <c r="B69" s="269"/>
      <c r="C69" s="844" t="s">
        <v>2629</v>
      </c>
      <c r="D69" s="1105"/>
      <c r="E69" s="1105"/>
      <c r="F69" s="1105"/>
      <c r="G69" s="1105"/>
      <c r="H69" s="1105"/>
      <c r="I69" s="372"/>
      <c r="J69" s="260"/>
      <c r="K69" s="260"/>
      <c r="L69" s="260"/>
      <c r="M69" s="260"/>
      <c r="N69" s="260"/>
      <c r="O69" s="260"/>
      <c r="P69" s="273"/>
      <c r="Q69" s="274"/>
    </row>
    <row r="70" spans="1:17" ht="22.05" customHeight="1" x14ac:dyDescent="0.25">
      <c r="A70" s="166"/>
      <c r="B70" s="269"/>
      <c r="C70" s="844" t="s">
        <v>2644</v>
      </c>
      <c r="D70" s="1105"/>
      <c r="E70" s="1105"/>
      <c r="F70" s="1105"/>
      <c r="G70" s="1105"/>
      <c r="H70" s="1105"/>
      <c r="I70" s="372"/>
      <c r="J70" s="260"/>
      <c r="K70" s="260"/>
      <c r="L70" s="260"/>
      <c r="M70" s="260"/>
      <c r="N70" s="260"/>
      <c r="O70" s="260"/>
      <c r="P70" s="273"/>
      <c r="Q70" s="274"/>
    </row>
    <row r="71" spans="1:17" ht="22.05" customHeight="1" x14ac:dyDescent="0.25">
      <c r="A71" s="166"/>
      <c r="B71" s="269"/>
      <c r="C71" s="844" t="s">
        <v>64</v>
      </c>
      <c r="D71" s="1105"/>
      <c r="E71" s="1105"/>
      <c r="F71" s="1105"/>
      <c r="G71" s="1105"/>
      <c r="H71" s="1105"/>
      <c r="I71" s="372"/>
      <c r="J71" s="260"/>
      <c r="K71" s="260"/>
      <c r="L71" s="260"/>
      <c r="M71" s="260"/>
      <c r="N71" s="260"/>
      <c r="O71" s="260"/>
      <c r="P71" s="273"/>
      <c r="Q71" s="274"/>
    </row>
    <row r="72" spans="1:17" ht="22.05" customHeight="1" x14ac:dyDescent="0.25">
      <c r="A72" s="166"/>
      <c r="B72" s="269"/>
      <c r="C72" s="844" t="s">
        <v>71</v>
      </c>
      <c r="D72" s="1105"/>
      <c r="E72" s="1105"/>
      <c r="F72" s="1105"/>
      <c r="G72" s="1105"/>
      <c r="H72" s="1105"/>
      <c r="I72" s="372"/>
      <c r="J72" s="260"/>
      <c r="K72" s="260"/>
      <c r="L72" s="260"/>
      <c r="M72" s="260"/>
      <c r="N72" s="260"/>
      <c r="O72" s="260"/>
      <c r="P72" s="273"/>
      <c r="Q72" s="274"/>
    </row>
    <row r="73" spans="1:17" ht="22.05" customHeight="1" x14ac:dyDescent="0.25">
      <c r="A73" s="166"/>
      <c r="B73" s="269"/>
      <c r="C73" s="844" t="s">
        <v>73</v>
      </c>
      <c r="D73" s="1105"/>
      <c r="E73" s="1105"/>
      <c r="F73" s="1105"/>
      <c r="G73" s="1105"/>
      <c r="H73" s="1105"/>
      <c r="I73" s="372"/>
      <c r="J73" s="260"/>
      <c r="K73" s="260"/>
      <c r="L73" s="260"/>
      <c r="M73" s="260"/>
      <c r="N73" s="260"/>
      <c r="O73" s="260"/>
      <c r="P73" s="273"/>
      <c r="Q73" s="274"/>
    </row>
    <row r="74" spans="1:17" ht="22.05" customHeight="1" x14ac:dyDescent="0.25">
      <c r="A74" s="166"/>
      <c r="B74" s="269"/>
      <c r="C74" s="844" t="s">
        <v>76</v>
      </c>
      <c r="D74" s="1105"/>
      <c r="E74" s="1105"/>
      <c r="F74" s="1105"/>
      <c r="G74" s="1105"/>
      <c r="H74" s="1105"/>
      <c r="I74" s="372"/>
      <c r="J74" s="260"/>
      <c r="K74" s="260"/>
      <c r="L74" s="260"/>
      <c r="M74" s="260"/>
      <c r="N74" s="260"/>
      <c r="O74" s="260"/>
      <c r="P74" s="273"/>
      <c r="Q74" s="274"/>
    </row>
    <row r="75" spans="1:17" ht="22.05" customHeight="1" x14ac:dyDescent="0.25">
      <c r="A75" s="166"/>
      <c r="B75" s="269"/>
      <c r="C75" s="844" t="s">
        <v>74</v>
      </c>
      <c r="D75" s="1105"/>
      <c r="E75" s="1105"/>
      <c r="F75" s="1105"/>
      <c r="G75" s="1105"/>
      <c r="H75" s="1105"/>
      <c r="I75" s="372"/>
      <c r="J75" s="260"/>
      <c r="K75" s="260"/>
      <c r="L75" s="260"/>
      <c r="M75" s="260"/>
      <c r="N75" s="260"/>
      <c r="O75" s="260"/>
      <c r="P75" s="273"/>
      <c r="Q75" s="274"/>
    </row>
    <row r="76" spans="1:17" ht="22.05" customHeight="1" x14ac:dyDescent="0.25">
      <c r="A76" s="166"/>
      <c r="B76" s="269"/>
      <c r="C76" s="844" t="s">
        <v>104</v>
      </c>
      <c r="D76" s="1105"/>
      <c r="E76" s="1105"/>
      <c r="F76" s="1105"/>
      <c r="G76" s="1105"/>
      <c r="H76" s="1105"/>
      <c r="I76" s="372"/>
      <c r="J76" s="260"/>
      <c r="K76" s="260"/>
      <c r="L76" s="260"/>
      <c r="M76" s="260"/>
      <c r="N76" s="260"/>
      <c r="O76" s="260"/>
      <c r="P76" s="273"/>
      <c r="Q76" s="274"/>
    </row>
    <row r="77" spans="1:17" ht="22.05" customHeight="1" x14ac:dyDescent="0.25">
      <c r="A77" s="166"/>
      <c r="B77" s="269"/>
      <c r="C77" s="844" t="s">
        <v>106</v>
      </c>
      <c r="D77" s="1105"/>
      <c r="E77" s="1105"/>
      <c r="F77" s="1105"/>
      <c r="G77" s="1105"/>
      <c r="H77" s="1105"/>
      <c r="I77" s="372"/>
      <c r="J77" s="260"/>
      <c r="K77" s="260"/>
      <c r="L77" s="260"/>
      <c r="M77" s="260"/>
      <c r="N77" s="260"/>
      <c r="O77" s="260"/>
      <c r="P77" s="273"/>
      <c r="Q77" s="274"/>
    </row>
    <row r="78" spans="1:17" ht="22.05" customHeight="1" x14ac:dyDescent="0.25">
      <c r="A78" s="166"/>
      <c r="B78" s="269"/>
      <c r="C78" s="844" t="s">
        <v>108</v>
      </c>
      <c r="D78" s="1105"/>
      <c r="E78" s="1105"/>
      <c r="F78" s="1105"/>
      <c r="G78" s="1105"/>
      <c r="H78" s="1105"/>
      <c r="I78" s="372"/>
      <c r="J78" s="260"/>
      <c r="K78" s="260"/>
      <c r="L78" s="260"/>
      <c r="M78" s="260"/>
      <c r="N78" s="260"/>
      <c r="O78" s="260"/>
      <c r="P78" s="273"/>
      <c r="Q78" s="274"/>
    </row>
    <row r="79" spans="1:17" ht="22.05" customHeight="1" x14ac:dyDescent="0.25">
      <c r="A79" s="166"/>
      <c r="B79" s="269"/>
      <c r="C79" s="844" t="s">
        <v>110</v>
      </c>
      <c r="D79" s="1105"/>
      <c r="E79" s="1105"/>
      <c r="F79" s="1105"/>
      <c r="G79" s="1105"/>
      <c r="H79" s="1105"/>
      <c r="I79" s="372"/>
      <c r="J79" s="260"/>
      <c r="K79" s="260"/>
      <c r="L79" s="260"/>
      <c r="M79" s="260"/>
      <c r="N79" s="260"/>
      <c r="O79" s="260"/>
      <c r="P79" s="273"/>
      <c r="Q79" s="274"/>
    </row>
    <row r="80" spans="1:17" ht="22.05" customHeight="1" x14ac:dyDescent="0.25">
      <c r="A80" s="166"/>
      <c r="B80" s="269"/>
      <c r="C80" s="844" t="s">
        <v>112</v>
      </c>
      <c r="D80" s="1105"/>
      <c r="E80" s="1105"/>
      <c r="F80" s="1105"/>
      <c r="G80" s="1105"/>
      <c r="H80" s="1105"/>
      <c r="I80" s="372"/>
      <c r="J80" s="260"/>
      <c r="K80" s="260"/>
      <c r="L80" s="260"/>
      <c r="M80" s="260"/>
      <c r="N80" s="260"/>
      <c r="O80" s="260"/>
      <c r="P80" s="273"/>
      <c r="Q80" s="274"/>
    </row>
    <row r="81" spans="1:17" ht="13.95" customHeight="1" x14ac:dyDescent="0.25">
      <c r="A81" s="166"/>
      <c r="B81" s="269"/>
      <c r="C81" s="375" t="s">
        <v>150</v>
      </c>
      <c r="D81" s="1106"/>
      <c r="E81" s="1106"/>
      <c r="F81" s="1106"/>
      <c r="G81" s="1106"/>
      <c r="H81" s="1106"/>
      <c r="I81" s="372"/>
      <c r="J81" s="260"/>
      <c r="K81" s="260"/>
      <c r="L81" s="260"/>
      <c r="M81" s="260"/>
      <c r="N81" s="260"/>
      <c r="O81" s="260"/>
      <c r="P81" s="273"/>
      <c r="Q81" s="274"/>
    </row>
    <row r="82" spans="1:17" ht="13.95" customHeight="1" x14ac:dyDescent="0.25">
      <c r="A82" s="166"/>
      <c r="B82" s="269"/>
      <c r="C82" s="375" t="s">
        <v>152</v>
      </c>
      <c r="D82" s="1106"/>
      <c r="E82" s="1106"/>
      <c r="F82" s="1106"/>
      <c r="G82" s="1106"/>
      <c r="H82" s="1106"/>
      <c r="I82" s="372"/>
      <c r="J82" s="260"/>
      <c r="K82" s="260"/>
      <c r="L82" s="260"/>
      <c r="M82" s="260"/>
      <c r="N82" s="260"/>
      <c r="O82" s="260"/>
      <c r="P82" s="273"/>
      <c r="Q82" s="274"/>
    </row>
    <row r="83" spans="1:17" ht="13.95" customHeight="1" x14ac:dyDescent="0.25">
      <c r="A83" s="166"/>
      <c r="B83" s="269"/>
      <c r="C83" s="375" t="s">
        <v>153</v>
      </c>
      <c r="D83" s="1106"/>
      <c r="E83" s="1106"/>
      <c r="F83" s="1106"/>
      <c r="G83" s="1106"/>
      <c r="H83" s="1106"/>
      <c r="I83" s="372"/>
      <c r="J83" s="260"/>
      <c r="K83" s="260"/>
      <c r="L83" s="260"/>
      <c r="M83" s="260"/>
      <c r="N83" s="260"/>
      <c r="O83" s="260"/>
      <c r="P83" s="273"/>
      <c r="Q83" s="274"/>
    </row>
    <row r="84" spans="1:17" ht="13.95" customHeight="1" x14ac:dyDescent="0.25">
      <c r="A84" s="166"/>
      <c r="B84" s="269"/>
      <c r="C84" s="375" t="s">
        <v>154</v>
      </c>
      <c r="D84" s="1106"/>
      <c r="E84" s="1106"/>
      <c r="F84" s="1106"/>
      <c r="G84" s="1106"/>
      <c r="H84" s="1106"/>
      <c r="I84" s="372"/>
      <c r="J84" s="260"/>
      <c r="K84" s="260"/>
      <c r="L84" s="260"/>
      <c r="M84" s="260"/>
      <c r="N84" s="260"/>
      <c r="O84" s="260"/>
      <c r="P84" s="273"/>
      <c r="Q84" s="274"/>
    </row>
    <row r="85" spans="1:17" ht="13.95" customHeight="1" x14ac:dyDescent="0.25">
      <c r="A85" s="166"/>
      <c r="B85" s="269"/>
      <c r="C85" s="375" t="s">
        <v>155</v>
      </c>
      <c r="D85" s="1106"/>
      <c r="E85" s="1106"/>
      <c r="F85" s="1106"/>
      <c r="G85" s="1106"/>
      <c r="H85" s="1106"/>
      <c r="I85" s="372"/>
      <c r="J85" s="260"/>
      <c r="K85" s="260"/>
      <c r="L85" s="260"/>
      <c r="M85" s="260"/>
      <c r="N85" s="260"/>
      <c r="O85" s="260"/>
      <c r="P85" s="273"/>
      <c r="Q85" s="274"/>
    </row>
    <row r="86" spans="1:17" ht="13.95" customHeight="1" x14ac:dyDescent="0.25">
      <c r="A86" s="166"/>
      <c r="B86" s="269"/>
      <c r="C86" s="375" t="s">
        <v>156</v>
      </c>
      <c r="D86" s="1106"/>
      <c r="E86" s="1106"/>
      <c r="F86" s="1106"/>
      <c r="G86" s="1106"/>
      <c r="H86" s="1106"/>
      <c r="I86" s="372"/>
      <c r="J86" s="260"/>
      <c r="K86" s="260"/>
      <c r="L86" s="260"/>
      <c r="M86" s="260"/>
      <c r="N86" s="260"/>
      <c r="O86" s="260"/>
      <c r="P86" s="273"/>
      <c r="Q86" s="274"/>
    </row>
    <row r="87" spans="1:17" ht="13.95" customHeight="1" x14ac:dyDescent="0.25">
      <c r="A87" s="166"/>
      <c r="B87" s="269"/>
      <c r="C87" s="375" t="s">
        <v>157</v>
      </c>
      <c r="D87" s="1106"/>
      <c r="E87" s="1106"/>
      <c r="F87" s="1106"/>
      <c r="G87" s="1106"/>
      <c r="H87" s="1106"/>
      <c r="I87" s="372"/>
      <c r="J87" s="260"/>
      <c r="K87" s="260"/>
      <c r="L87" s="260"/>
      <c r="M87" s="260"/>
      <c r="N87" s="260"/>
      <c r="O87" s="260"/>
      <c r="P87" s="273"/>
      <c r="Q87" s="274"/>
    </row>
    <row r="88" spans="1:17" ht="13.95" customHeight="1" x14ac:dyDescent="0.25">
      <c r="A88" s="166"/>
      <c r="B88" s="269"/>
      <c r="C88" s="375" t="s">
        <v>2606</v>
      </c>
      <c r="D88" s="1106"/>
      <c r="E88" s="1106"/>
      <c r="F88" s="1106"/>
      <c r="G88" s="1106"/>
      <c r="H88" s="1106"/>
      <c r="I88" s="372"/>
      <c r="J88" s="260"/>
      <c r="K88" s="260"/>
      <c r="L88" s="260"/>
      <c r="M88" s="260"/>
      <c r="N88" s="260"/>
      <c r="O88" s="260"/>
      <c r="P88" s="273"/>
      <c r="Q88" s="274"/>
    </row>
    <row r="89" spans="1:17" ht="13.95" customHeight="1" x14ac:dyDescent="0.25">
      <c r="A89" s="166"/>
      <c r="B89" s="269"/>
      <c r="C89" s="375" t="s">
        <v>2607</v>
      </c>
      <c r="D89" s="1106"/>
      <c r="E89" s="1106"/>
      <c r="F89" s="1106"/>
      <c r="G89" s="1106"/>
      <c r="H89" s="1106"/>
      <c r="I89" s="372"/>
      <c r="J89" s="260"/>
      <c r="K89" s="260"/>
      <c r="L89" s="260"/>
      <c r="M89" s="260"/>
      <c r="N89" s="260"/>
      <c r="O89" s="260"/>
      <c r="P89" s="273"/>
      <c r="Q89" s="274"/>
    </row>
    <row r="90" spans="1:17" ht="13.95" customHeight="1" x14ac:dyDescent="0.25">
      <c r="A90" s="166"/>
      <c r="B90" s="269"/>
      <c r="C90" s="375" t="s">
        <v>2608</v>
      </c>
      <c r="D90" s="1106"/>
      <c r="E90" s="1106"/>
      <c r="F90" s="1106"/>
      <c r="G90" s="1106"/>
      <c r="H90" s="1106"/>
      <c r="I90" s="372"/>
      <c r="J90" s="260"/>
      <c r="K90" s="260"/>
      <c r="L90" s="260"/>
      <c r="M90" s="260"/>
      <c r="N90" s="260"/>
      <c r="O90" s="260"/>
      <c r="P90" s="273"/>
      <c r="Q90" s="274"/>
    </row>
    <row r="91" spans="1:17" ht="13.95" customHeight="1" x14ac:dyDescent="0.25">
      <c r="A91" s="166"/>
      <c r="B91" s="269"/>
      <c r="C91" s="375" t="s">
        <v>158</v>
      </c>
      <c r="D91" s="1106"/>
      <c r="E91" s="1106"/>
      <c r="F91" s="1106"/>
      <c r="G91" s="1106"/>
      <c r="H91" s="1106"/>
      <c r="I91" s="372"/>
      <c r="J91" s="260"/>
      <c r="K91" s="260"/>
      <c r="L91" s="260"/>
      <c r="M91" s="260"/>
      <c r="N91" s="260"/>
      <c r="O91" s="260"/>
      <c r="P91" s="273"/>
      <c r="Q91" s="274"/>
    </row>
    <row r="92" spans="1:17" ht="13.95" customHeight="1" x14ac:dyDescent="0.25">
      <c r="A92" s="166"/>
      <c r="B92" s="269"/>
      <c r="C92" s="375" t="s">
        <v>159</v>
      </c>
      <c r="D92" s="1106"/>
      <c r="E92" s="1106"/>
      <c r="F92" s="1106"/>
      <c r="G92" s="1106"/>
      <c r="H92" s="1106"/>
      <c r="I92" s="372"/>
      <c r="J92" s="260"/>
      <c r="K92" s="260"/>
      <c r="L92" s="260"/>
      <c r="M92" s="260"/>
      <c r="N92" s="260"/>
      <c r="O92" s="260"/>
      <c r="P92" s="273"/>
      <c r="Q92" s="274"/>
    </row>
    <row r="93" spans="1:17" ht="13.95" customHeight="1" x14ac:dyDescent="0.25">
      <c r="A93" s="166"/>
      <c r="B93" s="269"/>
      <c r="C93" s="375" t="s">
        <v>160</v>
      </c>
      <c r="D93" s="1106"/>
      <c r="E93" s="1106"/>
      <c r="F93" s="1106"/>
      <c r="G93" s="1106"/>
      <c r="H93" s="1106"/>
      <c r="I93" s="372"/>
      <c r="J93" s="260"/>
      <c r="K93" s="260"/>
      <c r="L93" s="260"/>
      <c r="M93" s="260"/>
      <c r="N93" s="260"/>
      <c r="O93" s="260"/>
      <c r="P93" s="273"/>
      <c r="Q93" s="274"/>
    </row>
    <row r="94" spans="1:17" ht="13.95" customHeight="1" x14ac:dyDescent="0.25">
      <c r="A94" s="166"/>
      <c r="B94" s="269"/>
      <c r="C94" s="375" t="s">
        <v>161</v>
      </c>
      <c r="D94" s="1106"/>
      <c r="E94" s="1106"/>
      <c r="F94" s="1106"/>
      <c r="G94" s="1106"/>
      <c r="H94" s="1106"/>
      <c r="I94" s="372"/>
      <c r="J94" s="260"/>
      <c r="K94" s="260"/>
      <c r="L94" s="260"/>
      <c r="M94" s="260"/>
      <c r="N94" s="260"/>
      <c r="O94" s="260"/>
      <c r="P94" s="273"/>
      <c r="Q94" s="274"/>
    </row>
    <row r="95" spans="1:17" ht="13.95" customHeight="1" x14ac:dyDescent="0.25">
      <c r="A95" s="166"/>
      <c r="B95" s="269"/>
      <c r="C95" s="375" t="s">
        <v>162</v>
      </c>
      <c r="D95" s="1106"/>
      <c r="E95" s="1106"/>
      <c r="F95" s="1106"/>
      <c r="G95" s="1106"/>
      <c r="H95" s="1106"/>
      <c r="I95" s="372"/>
      <c r="J95" s="260"/>
      <c r="K95" s="260"/>
      <c r="L95" s="260"/>
      <c r="M95" s="260"/>
      <c r="N95" s="260"/>
      <c r="O95" s="260"/>
      <c r="P95" s="273"/>
      <c r="Q95" s="274"/>
    </row>
    <row r="96" spans="1:17" ht="13.95" customHeight="1" x14ac:dyDescent="0.25">
      <c r="A96" s="166"/>
      <c r="B96" s="269"/>
      <c r="C96" s="375" t="s">
        <v>163</v>
      </c>
      <c r="D96" s="1106"/>
      <c r="E96" s="1106"/>
      <c r="F96" s="1106"/>
      <c r="G96" s="1106"/>
      <c r="H96" s="1106"/>
      <c r="I96" s="372"/>
      <c r="J96" s="260"/>
      <c r="K96" s="260"/>
      <c r="L96" s="260"/>
      <c r="M96" s="260"/>
      <c r="N96" s="260"/>
      <c r="O96" s="260"/>
      <c r="P96" s="273"/>
      <c r="Q96" s="274"/>
    </row>
    <row r="97" spans="1:17" ht="13.95" customHeight="1" x14ac:dyDescent="0.25">
      <c r="A97" s="166"/>
      <c r="B97" s="269"/>
      <c r="C97" s="375" t="s">
        <v>164</v>
      </c>
      <c r="D97" s="1106"/>
      <c r="E97" s="1106"/>
      <c r="F97" s="1106"/>
      <c r="G97" s="1106"/>
      <c r="H97" s="1106"/>
      <c r="I97" s="372"/>
      <c r="J97" s="260"/>
      <c r="K97" s="260"/>
      <c r="L97" s="260"/>
      <c r="M97" s="260"/>
      <c r="N97" s="260"/>
      <c r="O97" s="260"/>
      <c r="P97" s="273"/>
      <c r="Q97" s="274"/>
    </row>
    <row r="98" spans="1:17" ht="13.95" customHeight="1" x14ac:dyDescent="0.25">
      <c r="A98" s="166"/>
      <c r="B98" s="269"/>
      <c r="C98" s="375" t="s">
        <v>166</v>
      </c>
      <c r="D98" s="1106"/>
      <c r="E98" s="1106"/>
      <c r="F98" s="1106"/>
      <c r="G98" s="1106"/>
      <c r="H98" s="1106"/>
      <c r="I98" s="372"/>
      <c r="J98" s="260"/>
      <c r="K98" s="260"/>
      <c r="L98" s="260"/>
      <c r="M98" s="260"/>
      <c r="N98" s="260"/>
      <c r="O98" s="260"/>
      <c r="P98" s="273"/>
      <c r="Q98" s="274"/>
    </row>
    <row r="99" spans="1:17" ht="13.95" customHeight="1" x14ac:dyDescent="0.25">
      <c r="A99" s="166"/>
      <c r="B99" s="269"/>
      <c r="C99" s="375" t="s">
        <v>964</v>
      </c>
      <c r="D99" s="1106"/>
      <c r="E99" s="1106"/>
      <c r="F99" s="1106"/>
      <c r="G99" s="1106"/>
      <c r="H99" s="1106"/>
      <c r="I99" s="372"/>
      <c r="J99" s="260"/>
      <c r="K99" s="260"/>
      <c r="L99" s="260"/>
      <c r="M99" s="260"/>
      <c r="N99" s="260"/>
      <c r="O99" s="260"/>
      <c r="P99" s="273"/>
      <c r="Q99" s="274"/>
    </row>
    <row r="100" spans="1:17" ht="13.95" customHeight="1" x14ac:dyDescent="0.25">
      <c r="A100" s="166"/>
      <c r="B100" s="269"/>
      <c r="C100" s="375" t="s">
        <v>168</v>
      </c>
      <c r="D100" s="1106"/>
      <c r="E100" s="1106"/>
      <c r="F100" s="1106"/>
      <c r="G100" s="1106"/>
      <c r="H100" s="1106"/>
      <c r="I100" s="372"/>
      <c r="J100" s="260"/>
      <c r="K100" s="260"/>
      <c r="L100" s="260"/>
      <c r="M100" s="260"/>
      <c r="N100" s="260"/>
      <c r="O100" s="260"/>
      <c r="P100" s="273"/>
      <c r="Q100" s="274"/>
    </row>
    <row r="101" spans="1:17" ht="13.95" customHeight="1" x14ac:dyDescent="0.25">
      <c r="A101" s="166"/>
      <c r="B101" s="269"/>
      <c r="C101" s="375" t="s">
        <v>169</v>
      </c>
      <c r="D101" s="1106"/>
      <c r="E101" s="1106"/>
      <c r="F101" s="1106"/>
      <c r="G101" s="1106"/>
      <c r="H101" s="1106"/>
      <c r="I101" s="372"/>
      <c r="J101" s="260"/>
      <c r="K101" s="260"/>
      <c r="L101" s="260"/>
      <c r="M101" s="260"/>
      <c r="N101" s="260"/>
      <c r="O101" s="260"/>
      <c r="P101" s="273"/>
      <c r="Q101" s="274"/>
    </row>
    <row r="102" spans="1:17" ht="13.95" customHeight="1" x14ac:dyDescent="0.25">
      <c r="A102" s="166"/>
      <c r="B102" s="269"/>
      <c r="C102" s="375" t="s">
        <v>170</v>
      </c>
      <c r="D102" s="1106"/>
      <c r="E102" s="1106"/>
      <c r="F102" s="1106"/>
      <c r="G102" s="1106"/>
      <c r="H102" s="1106"/>
      <c r="I102" s="372"/>
      <c r="J102" s="260"/>
      <c r="K102" s="260"/>
      <c r="L102" s="260"/>
      <c r="M102" s="260"/>
      <c r="N102" s="260"/>
      <c r="O102" s="260"/>
      <c r="P102" s="273"/>
      <c r="Q102" s="274"/>
    </row>
    <row r="103" spans="1:17" ht="13.95" customHeight="1" x14ac:dyDescent="0.25">
      <c r="A103" s="166"/>
      <c r="B103" s="269"/>
      <c r="C103" s="375" t="s">
        <v>171</v>
      </c>
      <c r="D103" s="1106"/>
      <c r="E103" s="1106"/>
      <c r="F103" s="1106"/>
      <c r="G103" s="1106"/>
      <c r="H103" s="1106"/>
      <c r="I103" s="372"/>
      <c r="J103" s="260"/>
      <c r="K103" s="260"/>
      <c r="L103" s="260"/>
      <c r="M103" s="260"/>
      <c r="N103" s="260"/>
      <c r="O103" s="260"/>
      <c r="P103" s="273"/>
      <c r="Q103" s="274"/>
    </row>
    <row r="104" spans="1:17" ht="13.95" customHeight="1" x14ac:dyDescent="0.25">
      <c r="A104" s="166"/>
      <c r="B104" s="269"/>
      <c r="C104" s="375" t="s">
        <v>172</v>
      </c>
      <c r="D104" s="1106"/>
      <c r="E104" s="1106"/>
      <c r="F104" s="1106"/>
      <c r="G104" s="1106"/>
      <c r="H104" s="1106"/>
      <c r="I104" s="372"/>
      <c r="J104" s="260"/>
      <c r="K104" s="260"/>
      <c r="L104" s="260"/>
      <c r="M104" s="260"/>
      <c r="N104" s="260"/>
      <c r="O104" s="260"/>
      <c r="P104" s="273"/>
      <c r="Q104" s="274"/>
    </row>
    <row r="105" spans="1:17" ht="13.95" customHeight="1" x14ac:dyDescent="0.25">
      <c r="A105" s="166"/>
      <c r="B105" s="269"/>
      <c r="C105" s="375" t="s">
        <v>173</v>
      </c>
      <c r="D105" s="1106"/>
      <c r="E105" s="1106"/>
      <c r="F105" s="1106"/>
      <c r="G105" s="1106"/>
      <c r="H105" s="1106"/>
      <c r="I105" s="372"/>
      <c r="J105" s="260"/>
      <c r="K105" s="260"/>
      <c r="L105" s="260"/>
      <c r="M105" s="260"/>
      <c r="N105" s="260"/>
      <c r="O105" s="260"/>
      <c r="P105" s="273"/>
      <c r="Q105" s="274"/>
    </row>
    <row r="106" spans="1:17" ht="13.95" customHeight="1" x14ac:dyDescent="0.25">
      <c r="A106" s="166"/>
      <c r="B106" s="269"/>
      <c r="C106" s="375" t="s">
        <v>174</v>
      </c>
      <c r="D106" s="1106"/>
      <c r="E106" s="1106"/>
      <c r="F106" s="1106"/>
      <c r="G106" s="1106"/>
      <c r="H106" s="1106"/>
      <c r="I106" s="372"/>
      <c r="J106" s="260"/>
      <c r="K106" s="260"/>
      <c r="L106" s="260"/>
      <c r="M106" s="260"/>
      <c r="N106" s="260"/>
      <c r="O106" s="260"/>
      <c r="P106" s="273"/>
      <c r="Q106" s="274"/>
    </row>
    <row r="107" spans="1:17" ht="13.95" customHeight="1" x14ac:dyDescent="0.25">
      <c r="A107" s="166"/>
      <c r="B107" s="269"/>
      <c r="C107" s="375" t="s">
        <v>965</v>
      </c>
      <c r="D107" s="1106"/>
      <c r="E107" s="1106"/>
      <c r="F107" s="1106"/>
      <c r="G107" s="1106"/>
      <c r="H107" s="1106"/>
      <c r="I107" s="372"/>
      <c r="J107" s="260"/>
      <c r="K107" s="260"/>
      <c r="L107" s="260"/>
      <c r="M107" s="260"/>
      <c r="N107" s="260"/>
      <c r="O107" s="260"/>
      <c r="P107" s="273"/>
      <c r="Q107" s="274"/>
    </row>
    <row r="108" spans="1:17" ht="13.95" customHeight="1" x14ac:dyDescent="0.25">
      <c r="A108" s="166"/>
      <c r="B108" s="269"/>
      <c r="C108" s="375" t="s">
        <v>966</v>
      </c>
      <c r="D108" s="1106"/>
      <c r="E108" s="1106"/>
      <c r="F108" s="1106"/>
      <c r="G108" s="1106"/>
      <c r="H108" s="1106"/>
      <c r="I108" s="372"/>
      <c r="J108" s="260"/>
      <c r="K108" s="260"/>
      <c r="L108" s="260"/>
      <c r="M108" s="260"/>
      <c r="N108" s="260"/>
      <c r="O108" s="260"/>
      <c r="P108" s="273"/>
      <c r="Q108" s="274"/>
    </row>
    <row r="109" spans="1:17" ht="13.95" customHeight="1" x14ac:dyDescent="0.25">
      <c r="A109" s="166"/>
      <c r="B109" s="269"/>
      <c r="C109" s="375" t="s">
        <v>2609</v>
      </c>
      <c r="D109" s="1106"/>
      <c r="E109" s="1106"/>
      <c r="F109" s="1106"/>
      <c r="G109" s="1106"/>
      <c r="H109" s="1106"/>
      <c r="I109" s="372"/>
      <c r="J109" s="260"/>
      <c r="K109" s="260"/>
      <c r="L109" s="260"/>
      <c r="M109" s="260"/>
      <c r="N109" s="260"/>
      <c r="O109" s="260"/>
      <c r="P109" s="273"/>
      <c r="Q109" s="274"/>
    </row>
    <row r="110" spans="1:17" ht="13.95" customHeight="1" x14ac:dyDescent="0.25">
      <c r="A110" s="166"/>
      <c r="B110" s="269"/>
      <c r="C110" s="375" t="s">
        <v>967</v>
      </c>
      <c r="D110" s="1106"/>
      <c r="E110" s="1106"/>
      <c r="F110" s="1106"/>
      <c r="G110" s="1106"/>
      <c r="H110" s="1106"/>
      <c r="I110" s="372"/>
      <c r="J110" s="260"/>
      <c r="K110" s="260"/>
      <c r="L110" s="260"/>
      <c r="M110" s="260"/>
      <c r="N110" s="260"/>
      <c r="O110" s="260"/>
      <c r="P110" s="273"/>
      <c r="Q110" s="274"/>
    </row>
    <row r="111" spans="1:17" ht="13.95" customHeight="1" x14ac:dyDescent="0.25">
      <c r="A111" s="166"/>
      <c r="B111" s="269"/>
      <c r="C111" s="375" t="s">
        <v>968</v>
      </c>
      <c r="D111" s="1106"/>
      <c r="E111" s="1106"/>
      <c r="F111" s="1106"/>
      <c r="G111" s="1106"/>
      <c r="H111" s="1106"/>
      <c r="I111" s="372"/>
      <c r="J111" s="260"/>
      <c r="K111" s="260"/>
      <c r="L111" s="260"/>
      <c r="M111" s="260"/>
      <c r="N111" s="260"/>
      <c r="O111" s="260"/>
      <c r="P111" s="273"/>
      <c r="Q111" s="274"/>
    </row>
    <row r="112" spans="1:17" ht="13.95" customHeight="1" x14ac:dyDescent="0.25">
      <c r="A112" s="166"/>
      <c r="B112" s="269"/>
      <c r="C112" s="375" t="s">
        <v>969</v>
      </c>
      <c r="D112" s="1106"/>
      <c r="E112" s="1106"/>
      <c r="F112" s="1106"/>
      <c r="G112" s="1106"/>
      <c r="H112" s="1106"/>
      <c r="I112" s="372"/>
      <c r="J112" s="260"/>
      <c r="K112" s="260"/>
      <c r="L112" s="260"/>
      <c r="M112" s="260"/>
      <c r="N112" s="260"/>
      <c r="O112" s="260"/>
      <c r="P112" s="273"/>
      <c r="Q112" s="274"/>
    </row>
    <row r="113" spans="1:17" ht="13.95" customHeight="1" x14ac:dyDescent="0.25">
      <c r="A113" s="166"/>
      <c r="B113" s="269"/>
      <c r="C113" s="375" t="s">
        <v>970</v>
      </c>
      <c r="D113" s="1106"/>
      <c r="E113" s="1106"/>
      <c r="F113" s="1106"/>
      <c r="G113" s="1106"/>
      <c r="H113" s="1106"/>
      <c r="I113" s="372"/>
      <c r="J113" s="260"/>
      <c r="K113" s="260"/>
      <c r="L113" s="260"/>
      <c r="M113" s="260"/>
      <c r="N113" s="260"/>
      <c r="O113" s="260"/>
      <c r="P113" s="273"/>
      <c r="Q113" s="274"/>
    </row>
    <row r="114" spans="1:17" ht="13.95" customHeight="1" x14ac:dyDescent="0.25">
      <c r="A114" s="166"/>
      <c r="B114" s="269"/>
      <c r="C114" s="375" t="s">
        <v>971</v>
      </c>
      <c r="D114" s="1106"/>
      <c r="E114" s="1106"/>
      <c r="F114" s="1106"/>
      <c r="G114" s="1106"/>
      <c r="H114" s="1106"/>
      <c r="I114" s="372"/>
      <c r="J114" s="260"/>
      <c r="K114" s="260"/>
      <c r="L114" s="260"/>
      <c r="M114" s="260"/>
      <c r="N114" s="260"/>
      <c r="O114" s="260"/>
      <c r="P114" s="273"/>
      <c r="Q114" s="274"/>
    </row>
    <row r="115" spans="1:17" ht="13.95" customHeight="1" x14ac:dyDescent="0.25">
      <c r="A115" s="166"/>
      <c r="B115" s="269"/>
      <c r="C115" s="375" t="s">
        <v>972</v>
      </c>
      <c r="D115" s="1106"/>
      <c r="E115" s="1106"/>
      <c r="F115" s="1106"/>
      <c r="G115" s="1106"/>
      <c r="H115" s="1106"/>
      <c r="I115" s="372"/>
      <c r="J115" s="260"/>
      <c r="K115" s="260"/>
      <c r="L115" s="260"/>
      <c r="M115" s="260"/>
      <c r="N115" s="260"/>
      <c r="O115" s="260"/>
      <c r="P115" s="273"/>
      <c r="Q115" s="274"/>
    </row>
    <row r="116" spans="1:17" ht="13.95" customHeight="1" x14ac:dyDescent="0.25">
      <c r="A116" s="166"/>
      <c r="B116" s="269"/>
      <c r="C116" s="375" t="s">
        <v>303</v>
      </c>
      <c r="D116" s="1106"/>
      <c r="E116" s="1106"/>
      <c r="F116" s="1106"/>
      <c r="G116" s="1106"/>
      <c r="H116" s="1106"/>
      <c r="I116" s="372"/>
      <c r="J116" s="260"/>
      <c r="K116" s="260"/>
      <c r="L116" s="260"/>
      <c r="M116" s="260"/>
      <c r="N116" s="260"/>
      <c r="O116" s="260"/>
      <c r="P116" s="273"/>
      <c r="Q116" s="274"/>
    </row>
    <row r="117" spans="1:17" ht="13.95" customHeight="1" x14ac:dyDescent="0.25">
      <c r="A117" s="166"/>
      <c r="B117" s="269"/>
      <c r="C117" s="375" t="s">
        <v>304</v>
      </c>
      <c r="D117" s="1106"/>
      <c r="E117" s="1106"/>
      <c r="F117" s="1106"/>
      <c r="G117" s="1106"/>
      <c r="H117" s="1106"/>
      <c r="I117" s="372"/>
      <c r="J117" s="260"/>
      <c r="K117" s="260"/>
      <c r="L117" s="260"/>
      <c r="M117" s="260"/>
      <c r="N117" s="260"/>
      <c r="O117" s="260"/>
      <c r="P117" s="273"/>
      <c r="Q117" s="274"/>
    </row>
    <row r="118" spans="1:17" ht="13.95" customHeight="1" x14ac:dyDescent="0.25">
      <c r="A118" s="166"/>
      <c r="B118" s="269"/>
      <c r="C118" s="375" t="s">
        <v>305</v>
      </c>
      <c r="D118" s="1106"/>
      <c r="E118" s="1106"/>
      <c r="F118" s="1106"/>
      <c r="G118" s="1106"/>
      <c r="H118" s="1106"/>
      <c r="I118" s="372"/>
      <c r="J118" s="260"/>
      <c r="K118" s="260"/>
      <c r="L118" s="260"/>
      <c r="M118" s="260"/>
      <c r="N118" s="260"/>
      <c r="O118" s="260"/>
      <c r="P118" s="273"/>
      <c r="Q118" s="274"/>
    </row>
    <row r="119" spans="1:17" ht="13.95" customHeight="1" x14ac:dyDescent="0.25">
      <c r="A119" s="166"/>
      <c r="B119" s="269"/>
      <c r="C119" s="375" t="s">
        <v>306</v>
      </c>
      <c r="D119" s="1106"/>
      <c r="E119" s="1106"/>
      <c r="F119" s="1106"/>
      <c r="G119" s="1106"/>
      <c r="H119" s="1106"/>
      <c r="I119" s="372"/>
      <c r="J119" s="260"/>
      <c r="K119" s="260"/>
      <c r="L119" s="260"/>
      <c r="M119" s="260"/>
      <c r="N119" s="260"/>
      <c r="O119" s="260"/>
      <c r="P119" s="273"/>
      <c r="Q119" s="274"/>
    </row>
    <row r="120" spans="1:17" ht="13.95" customHeight="1" x14ac:dyDescent="0.25">
      <c r="A120" s="166"/>
      <c r="B120" s="269"/>
      <c r="C120" s="375" t="s">
        <v>307</v>
      </c>
      <c r="D120" s="1106"/>
      <c r="E120" s="1106"/>
      <c r="F120" s="1106"/>
      <c r="G120" s="1106"/>
      <c r="H120" s="1106"/>
      <c r="I120" s="372"/>
      <c r="J120" s="260"/>
      <c r="K120" s="260"/>
      <c r="L120" s="260"/>
      <c r="M120" s="260"/>
      <c r="N120" s="260"/>
      <c r="O120" s="260"/>
      <c r="P120" s="273"/>
      <c r="Q120" s="274"/>
    </row>
    <row r="121" spans="1:17" ht="13.95" customHeight="1" x14ac:dyDescent="0.25">
      <c r="A121" s="166"/>
      <c r="B121" s="269"/>
      <c r="C121" s="375" t="s">
        <v>308</v>
      </c>
      <c r="D121" s="1106"/>
      <c r="E121" s="1106"/>
      <c r="F121" s="1106"/>
      <c r="G121" s="1106"/>
      <c r="H121" s="1106"/>
      <c r="I121" s="372"/>
      <c r="J121" s="260"/>
      <c r="K121" s="260"/>
      <c r="L121" s="260"/>
      <c r="M121" s="260"/>
      <c r="N121" s="260"/>
      <c r="O121" s="260"/>
      <c r="P121" s="273"/>
      <c r="Q121" s="274"/>
    </row>
    <row r="122" spans="1:17" ht="13.95" customHeight="1" x14ac:dyDescent="0.25">
      <c r="A122" s="166"/>
      <c r="B122" s="269"/>
      <c r="C122" s="375" t="s">
        <v>309</v>
      </c>
      <c r="D122" s="1106"/>
      <c r="E122" s="1106"/>
      <c r="F122" s="1106"/>
      <c r="G122" s="1106"/>
      <c r="H122" s="1106"/>
      <c r="I122" s="372"/>
      <c r="J122" s="260"/>
      <c r="K122" s="260"/>
      <c r="L122" s="260"/>
      <c r="M122" s="260"/>
      <c r="N122" s="260"/>
      <c r="O122" s="260"/>
      <c r="P122" s="273"/>
      <c r="Q122" s="274"/>
    </row>
    <row r="123" spans="1:17" ht="13.95" customHeight="1" x14ac:dyDescent="0.25">
      <c r="A123" s="166"/>
      <c r="B123" s="269"/>
      <c r="C123" s="375" t="s">
        <v>310</v>
      </c>
      <c r="D123" s="1106"/>
      <c r="E123" s="1106"/>
      <c r="F123" s="1106"/>
      <c r="G123" s="1106"/>
      <c r="H123" s="1106"/>
      <c r="I123" s="372"/>
      <c r="J123" s="260"/>
      <c r="K123" s="260"/>
      <c r="L123" s="260"/>
      <c r="M123" s="260"/>
      <c r="N123" s="260"/>
      <c r="O123" s="260"/>
      <c r="P123" s="273"/>
      <c r="Q123" s="274"/>
    </row>
    <row r="124" spans="1:17" ht="13.95" customHeight="1" x14ac:dyDescent="0.25">
      <c r="A124" s="166"/>
      <c r="B124" s="269"/>
      <c r="C124" s="375" t="s">
        <v>311</v>
      </c>
      <c r="D124" s="1106"/>
      <c r="E124" s="1106"/>
      <c r="F124" s="1106"/>
      <c r="G124" s="1106"/>
      <c r="H124" s="1106"/>
      <c r="I124" s="372"/>
      <c r="J124" s="260"/>
      <c r="K124" s="260"/>
      <c r="L124" s="260"/>
      <c r="M124" s="260"/>
      <c r="N124" s="260"/>
      <c r="O124" s="260"/>
      <c r="P124" s="273"/>
      <c r="Q124" s="274"/>
    </row>
    <row r="125" spans="1:17" ht="13.95" customHeight="1" x14ac:dyDescent="0.25">
      <c r="A125" s="166"/>
      <c r="B125" s="269"/>
      <c r="C125" s="375" t="s">
        <v>992</v>
      </c>
      <c r="D125" s="1106"/>
      <c r="E125" s="1106"/>
      <c r="F125" s="1106"/>
      <c r="G125" s="1106"/>
      <c r="H125" s="1106"/>
      <c r="I125" s="372"/>
      <c r="J125" s="260"/>
      <c r="K125" s="260"/>
      <c r="L125" s="260"/>
      <c r="M125" s="260"/>
      <c r="N125" s="260"/>
      <c r="O125" s="260"/>
      <c r="P125" s="273"/>
      <c r="Q125" s="274"/>
    </row>
    <row r="126" spans="1:17" ht="13.95" customHeight="1" x14ac:dyDescent="0.25">
      <c r="A126" s="166"/>
      <c r="B126" s="269"/>
      <c r="C126" s="375" t="s">
        <v>2610</v>
      </c>
      <c r="D126" s="1106"/>
      <c r="E126" s="1106"/>
      <c r="F126" s="1106"/>
      <c r="G126" s="1106"/>
      <c r="H126" s="1106"/>
      <c r="I126" s="372"/>
      <c r="J126" s="260"/>
      <c r="K126" s="260"/>
      <c r="L126" s="260"/>
      <c r="M126" s="260"/>
      <c r="N126" s="260"/>
      <c r="O126" s="260"/>
      <c r="P126" s="273"/>
      <c r="Q126" s="274"/>
    </row>
    <row r="127" spans="1:17" ht="13.95" customHeight="1" x14ac:dyDescent="0.25">
      <c r="A127" s="166"/>
      <c r="B127" s="269"/>
      <c r="C127" s="375" t="s">
        <v>312</v>
      </c>
      <c r="D127" s="1106"/>
      <c r="E127" s="1106"/>
      <c r="F127" s="1106"/>
      <c r="G127" s="1106"/>
      <c r="H127" s="1106"/>
      <c r="I127" s="372"/>
      <c r="J127" s="260"/>
      <c r="K127" s="260"/>
      <c r="L127" s="260"/>
      <c r="M127" s="260"/>
      <c r="N127" s="260"/>
      <c r="O127" s="260"/>
      <c r="P127" s="273"/>
      <c r="Q127" s="274"/>
    </row>
    <row r="128" spans="1:17" ht="13.95" customHeight="1" x14ac:dyDescent="0.25">
      <c r="A128" s="166"/>
      <c r="B128" s="269"/>
      <c r="C128" s="375" t="s">
        <v>313</v>
      </c>
      <c r="D128" s="1106"/>
      <c r="E128" s="1106"/>
      <c r="F128" s="1106"/>
      <c r="G128" s="1106"/>
      <c r="H128" s="1106"/>
      <c r="I128" s="372"/>
      <c r="J128" s="260"/>
      <c r="K128" s="260"/>
      <c r="L128" s="260"/>
      <c r="M128" s="260"/>
      <c r="N128" s="260"/>
      <c r="O128" s="260"/>
      <c r="P128" s="273"/>
      <c r="Q128" s="274"/>
    </row>
    <row r="129" spans="1:17" ht="13.95" customHeight="1" x14ac:dyDescent="0.25">
      <c r="A129" s="166"/>
      <c r="B129" s="269"/>
      <c r="C129" s="375" t="s">
        <v>314</v>
      </c>
      <c r="D129" s="1106"/>
      <c r="E129" s="1106"/>
      <c r="F129" s="1106"/>
      <c r="G129" s="1106"/>
      <c r="H129" s="1106"/>
      <c r="I129" s="372"/>
      <c r="J129" s="260"/>
      <c r="K129" s="260"/>
      <c r="L129" s="260"/>
      <c r="M129" s="260"/>
      <c r="N129" s="260"/>
      <c r="O129" s="260"/>
      <c r="P129" s="273"/>
      <c r="Q129" s="274"/>
    </row>
    <row r="130" spans="1:17" ht="13.95" customHeight="1" x14ac:dyDescent="0.25">
      <c r="A130" s="166"/>
      <c r="B130" s="269"/>
      <c r="C130" s="375" t="s">
        <v>993</v>
      </c>
      <c r="D130" s="1106"/>
      <c r="E130" s="1106"/>
      <c r="F130" s="1106"/>
      <c r="G130" s="1106"/>
      <c r="H130" s="1106"/>
      <c r="I130" s="372"/>
      <c r="J130" s="260"/>
      <c r="K130" s="260"/>
      <c r="L130" s="260"/>
      <c r="M130" s="260"/>
      <c r="N130" s="260"/>
      <c r="O130" s="260"/>
      <c r="P130" s="273"/>
      <c r="Q130" s="274"/>
    </row>
    <row r="131" spans="1:17" ht="13.95" customHeight="1" x14ac:dyDescent="0.25">
      <c r="A131" s="166"/>
      <c r="B131" s="269"/>
      <c r="C131" s="375" t="s">
        <v>994</v>
      </c>
      <c r="D131" s="1106"/>
      <c r="E131" s="1106"/>
      <c r="F131" s="1106"/>
      <c r="G131" s="1106"/>
      <c r="H131" s="1106"/>
      <c r="I131" s="372"/>
      <c r="J131" s="260"/>
      <c r="K131" s="260"/>
      <c r="L131" s="260"/>
      <c r="M131" s="260"/>
      <c r="N131" s="260"/>
      <c r="O131" s="260"/>
      <c r="P131" s="273"/>
      <c r="Q131" s="274"/>
    </row>
    <row r="132" spans="1:17" ht="13.95" customHeight="1" x14ac:dyDescent="0.25">
      <c r="A132" s="166"/>
      <c r="B132" s="269"/>
      <c r="C132" s="375" t="s">
        <v>995</v>
      </c>
      <c r="D132" s="1106"/>
      <c r="E132" s="1106"/>
      <c r="F132" s="1106"/>
      <c r="G132" s="1106"/>
      <c r="H132" s="1106"/>
      <c r="I132" s="372"/>
      <c r="J132" s="260"/>
      <c r="K132" s="260"/>
      <c r="L132" s="260"/>
      <c r="M132" s="260"/>
      <c r="N132" s="260"/>
      <c r="O132" s="260"/>
      <c r="P132" s="273"/>
      <c r="Q132" s="274"/>
    </row>
    <row r="133" spans="1:17" ht="13.95" customHeight="1" x14ac:dyDescent="0.25">
      <c r="A133" s="166"/>
      <c r="B133" s="269"/>
      <c r="C133" s="375" t="s">
        <v>996</v>
      </c>
      <c r="D133" s="1106"/>
      <c r="E133" s="1106"/>
      <c r="F133" s="1106"/>
      <c r="G133" s="1106"/>
      <c r="H133" s="1106"/>
      <c r="I133" s="372"/>
      <c r="J133" s="260"/>
      <c r="K133" s="260"/>
      <c r="L133" s="260"/>
      <c r="M133" s="260"/>
      <c r="N133" s="260"/>
      <c r="O133" s="260"/>
      <c r="P133" s="273"/>
      <c r="Q133" s="274"/>
    </row>
    <row r="134" spans="1:17" ht="13.95" customHeight="1" x14ac:dyDescent="0.25">
      <c r="A134" s="166"/>
      <c r="B134" s="269"/>
      <c r="C134" s="375" t="s">
        <v>997</v>
      </c>
      <c r="D134" s="1106"/>
      <c r="E134" s="1106"/>
      <c r="F134" s="1106"/>
      <c r="G134" s="1106"/>
      <c r="H134" s="1106"/>
      <c r="I134" s="372"/>
      <c r="J134" s="260"/>
      <c r="K134" s="260"/>
      <c r="L134" s="260"/>
      <c r="M134" s="260"/>
      <c r="N134" s="260"/>
      <c r="O134" s="260"/>
      <c r="P134" s="273"/>
      <c r="Q134" s="274"/>
    </row>
    <row r="135" spans="1:17" ht="13.95" customHeight="1" x14ac:dyDescent="0.25">
      <c r="A135" s="166"/>
      <c r="B135" s="269"/>
      <c r="C135" s="375" t="s">
        <v>998</v>
      </c>
      <c r="D135" s="1106"/>
      <c r="E135" s="1106"/>
      <c r="F135" s="1106"/>
      <c r="G135" s="1106"/>
      <c r="H135" s="1106"/>
      <c r="I135" s="372"/>
      <c r="J135" s="260"/>
      <c r="K135" s="260"/>
      <c r="L135" s="260"/>
      <c r="M135" s="260"/>
      <c r="N135" s="260"/>
      <c r="O135" s="260"/>
      <c r="P135" s="273"/>
      <c r="Q135" s="274"/>
    </row>
    <row r="136" spans="1:17" ht="13.95" customHeight="1" x14ac:dyDescent="0.25">
      <c r="A136" s="166"/>
      <c r="B136" s="269"/>
      <c r="C136" s="375" t="s">
        <v>999</v>
      </c>
      <c r="D136" s="1106"/>
      <c r="E136" s="1106"/>
      <c r="F136" s="1106"/>
      <c r="G136" s="1106"/>
      <c r="H136" s="1106"/>
      <c r="I136" s="372"/>
      <c r="J136" s="260"/>
      <c r="K136" s="260"/>
      <c r="L136" s="260"/>
      <c r="M136" s="260"/>
      <c r="N136" s="260"/>
      <c r="O136" s="260"/>
      <c r="P136" s="273"/>
      <c r="Q136" s="274"/>
    </row>
    <row r="137" spans="1:17" ht="13.95" customHeight="1" x14ac:dyDescent="0.25">
      <c r="A137" s="166"/>
      <c r="B137" s="269"/>
      <c r="C137" s="375" t="s">
        <v>1000</v>
      </c>
      <c r="D137" s="1106"/>
      <c r="E137" s="1106"/>
      <c r="F137" s="1106"/>
      <c r="G137" s="1106"/>
      <c r="H137" s="1106"/>
      <c r="I137" s="372"/>
      <c r="J137" s="260"/>
      <c r="K137" s="260"/>
      <c r="L137" s="260"/>
      <c r="M137" s="260"/>
      <c r="N137" s="260"/>
      <c r="O137" s="260"/>
      <c r="P137" s="273"/>
      <c r="Q137" s="274"/>
    </row>
    <row r="138" spans="1:17" ht="13.95" customHeight="1" x14ac:dyDescent="0.25">
      <c r="A138" s="166"/>
      <c r="B138" s="269"/>
      <c r="C138" s="375" t="s">
        <v>1001</v>
      </c>
      <c r="D138" s="1106"/>
      <c r="E138" s="1106"/>
      <c r="F138" s="1106"/>
      <c r="G138" s="1106"/>
      <c r="H138" s="1106"/>
      <c r="I138" s="372"/>
      <c r="J138" s="260"/>
      <c r="K138" s="260"/>
      <c r="L138" s="260"/>
      <c r="M138" s="260"/>
      <c r="N138" s="260"/>
      <c r="O138" s="260"/>
      <c r="P138" s="273"/>
      <c r="Q138" s="274"/>
    </row>
    <row r="139" spans="1:17" ht="13.95" customHeight="1" x14ac:dyDescent="0.25">
      <c r="A139" s="166"/>
      <c r="B139" s="269"/>
      <c r="C139" s="375" t="s">
        <v>315</v>
      </c>
      <c r="D139" s="1106"/>
      <c r="E139" s="1106"/>
      <c r="F139" s="1106"/>
      <c r="G139" s="1106"/>
      <c r="H139" s="1106"/>
      <c r="I139" s="372"/>
      <c r="J139" s="260"/>
      <c r="K139" s="260"/>
      <c r="L139" s="260"/>
      <c r="M139" s="260"/>
      <c r="N139" s="260"/>
      <c r="O139" s="260"/>
      <c r="P139" s="273"/>
      <c r="Q139" s="274"/>
    </row>
    <row r="140" spans="1:17" ht="13.95" customHeight="1" x14ac:dyDescent="0.25">
      <c r="A140" s="166"/>
      <c r="B140" s="269"/>
      <c r="C140" s="375" t="s">
        <v>316</v>
      </c>
      <c r="D140" s="1106"/>
      <c r="E140" s="1106"/>
      <c r="F140" s="1106"/>
      <c r="G140" s="1106"/>
      <c r="H140" s="1106"/>
      <c r="I140" s="372"/>
      <c r="J140" s="260"/>
      <c r="K140" s="260"/>
      <c r="L140" s="260"/>
      <c r="M140" s="260"/>
      <c r="N140" s="260"/>
      <c r="O140" s="260"/>
      <c r="P140" s="273"/>
      <c r="Q140" s="274"/>
    </row>
    <row r="141" spans="1:17" ht="13.95" customHeight="1" x14ac:dyDescent="0.25">
      <c r="A141" s="166"/>
      <c r="B141" s="269"/>
      <c r="C141" s="375" t="s">
        <v>317</v>
      </c>
      <c r="D141" s="1106"/>
      <c r="E141" s="1106"/>
      <c r="F141" s="1106"/>
      <c r="G141" s="1106"/>
      <c r="H141" s="1106"/>
      <c r="I141" s="372"/>
      <c r="J141" s="260"/>
      <c r="K141" s="260"/>
      <c r="L141" s="260"/>
      <c r="M141" s="260"/>
      <c r="N141" s="260"/>
      <c r="O141" s="260"/>
      <c r="P141" s="273"/>
      <c r="Q141" s="274"/>
    </row>
    <row r="142" spans="1:17" ht="13.95" customHeight="1" x14ac:dyDescent="0.25">
      <c r="A142" s="166"/>
      <c r="B142" s="269"/>
      <c r="C142" s="375" t="s">
        <v>318</v>
      </c>
      <c r="D142" s="1106"/>
      <c r="E142" s="1106"/>
      <c r="F142" s="1106"/>
      <c r="G142" s="1106"/>
      <c r="H142" s="1106"/>
      <c r="I142" s="372"/>
      <c r="J142" s="260"/>
      <c r="K142" s="260"/>
      <c r="L142" s="260"/>
      <c r="M142" s="260"/>
      <c r="N142" s="260"/>
      <c r="O142" s="260"/>
      <c r="P142" s="273"/>
      <c r="Q142" s="274"/>
    </row>
    <row r="143" spans="1:17" ht="13.95" customHeight="1" x14ac:dyDescent="0.25">
      <c r="A143" s="166"/>
      <c r="B143" s="269"/>
      <c r="C143" s="375" t="s">
        <v>1002</v>
      </c>
      <c r="D143" s="1106"/>
      <c r="E143" s="1106"/>
      <c r="F143" s="1106"/>
      <c r="G143" s="1106"/>
      <c r="H143" s="1106"/>
      <c r="I143" s="372"/>
      <c r="J143" s="260"/>
      <c r="K143" s="260"/>
      <c r="L143" s="260"/>
      <c r="M143" s="260"/>
      <c r="N143" s="260"/>
      <c r="O143" s="260"/>
      <c r="P143" s="273"/>
      <c r="Q143" s="274"/>
    </row>
    <row r="144" spans="1:17" ht="13.95" customHeight="1" x14ac:dyDescent="0.25">
      <c r="A144" s="166"/>
      <c r="B144" s="269"/>
      <c r="C144" s="375" t="s">
        <v>1003</v>
      </c>
      <c r="D144" s="1106"/>
      <c r="E144" s="1106"/>
      <c r="F144" s="1106"/>
      <c r="G144" s="1106"/>
      <c r="H144" s="1106"/>
      <c r="I144" s="372"/>
      <c r="J144" s="260"/>
      <c r="K144" s="260"/>
      <c r="L144" s="260"/>
      <c r="M144" s="260"/>
      <c r="N144" s="260"/>
      <c r="O144" s="260"/>
      <c r="P144" s="273"/>
      <c r="Q144" s="274"/>
    </row>
    <row r="145" spans="1:17" ht="13.95" customHeight="1" x14ac:dyDescent="0.25">
      <c r="A145" s="166"/>
      <c r="B145" s="269"/>
      <c r="C145" s="375" t="s">
        <v>1004</v>
      </c>
      <c r="D145" s="1106"/>
      <c r="E145" s="1106"/>
      <c r="F145" s="1106"/>
      <c r="G145" s="1106"/>
      <c r="H145" s="1106"/>
      <c r="I145" s="372"/>
      <c r="J145" s="260"/>
      <c r="K145" s="260"/>
      <c r="L145" s="260"/>
      <c r="M145" s="260"/>
      <c r="N145" s="260"/>
      <c r="O145" s="260"/>
      <c r="P145" s="273"/>
      <c r="Q145" s="274"/>
    </row>
    <row r="146" spans="1:17" ht="13.95" customHeight="1" x14ac:dyDescent="0.25">
      <c r="A146" s="166"/>
      <c r="B146" s="269"/>
      <c r="C146" s="375" t="s">
        <v>1005</v>
      </c>
      <c r="D146" s="1106"/>
      <c r="E146" s="1106"/>
      <c r="F146" s="1106"/>
      <c r="G146" s="1106"/>
      <c r="H146" s="1106"/>
      <c r="I146" s="372"/>
      <c r="J146" s="260"/>
      <c r="K146" s="260"/>
      <c r="L146" s="260"/>
      <c r="M146" s="260"/>
      <c r="N146" s="260"/>
      <c r="O146" s="260"/>
      <c r="P146" s="273"/>
      <c r="Q146" s="274"/>
    </row>
    <row r="147" spans="1:17" ht="13.95" customHeight="1" x14ac:dyDescent="0.25">
      <c r="A147" s="166"/>
      <c r="B147" s="269"/>
      <c r="C147" s="375" t="s">
        <v>1006</v>
      </c>
      <c r="D147" s="1106"/>
      <c r="E147" s="1106"/>
      <c r="F147" s="1106"/>
      <c r="G147" s="1106"/>
      <c r="H147" s="1106"/>
      <c r="I147" s="372"/>
      <c r="J147" s="260"/>
      <c r="K147" s="260"/>
      <c r="L147" s="260"/>
      <c r="M147" s="260"/>
      <c r="N147" s="260"/>
      <c r="O147" s="260"/>
      <c r="P147" s="273"/>
      <c r="Q147" s="274"/>
    </row>
    <row r="148" spans="1:17" ht="13.95" customHeight="1" x14ac:dyDescent="0.25">
      <c r="A148" s="166"/>
      <c r="B148" s="269"/>
      <c r="C148" s="375" t="s">
        <v>1007</v>
      </c>
      <c r="D148" s="1106"/>
      <c r="E148" s="1106"/>
      <c r="F148" s="1106"/>
      <c r="G148" s="1106"/>
      <c r="H148" s="1106"/>
      <c r="I148" s="372"/>
      <c r="J148" s="260"/>
      <c r="K148" s="260"/>
      <c r="L148" s="260"/>
      <c r="M148" s="260"/>
      <c r="N148" s="260"/>
      <c r="O148" s="260"/>
      <c r="P148" s="273"/>
      <c r="Q148" s="274"/>
    </row>
    <row r="149" spans="1:17" ht="13.95" customHeight="1" x14ac:dyDescent="0.25">
      <c r="A149" s="166"/>
      <c r="B149" s="269"/>
      <c r="C149" s="375" t="s">
        <v>2611</v>
      </c>
      <c r="D149" s="1106"/>
      <c r="E149" s="1106"/>
      <c r="F149" s="1106"/>
      <c r="G149" s="1106"/>
      <c r="H149" s="1106"/>
      <c r="I149" s="372"/>
      <c r="J149" s="260"/>
      <c r="K149" s="260"/>
      <c r="L149" s="260"/>
      <c r="M149" s="260"/>
      <c r="N149" s="260"/>
      <c r="O149" s="260"/>
      <c r="P149" s="273"/>
      <c r="Q149" s="274"/>
    </row>
    <row r="150" spans="1:17" ht="13.95" customHeight="1" x14ac:dyDescent="0.25">
      <c r="A150" s="166"/>
      <c r="B150" s="269"/>
      <c r="C150" s="375" t="s">
        <v>2612</v>
      </c>
      <c r="D150" s="1106"/>
      <c r="E150" s="1106"/>
      <c r="F150" s="1106"/>
      <c r="G150" s="1106"/>
      <c r="H150" s="1106"/>
      <c r="I150" s="372"/>
      <c r="J150" s="260"/>
      <c r="K150" s="260"/>
      <c r="L150" s="260"/>
      <c r="M150" s="260"/>
      <c r="N150" s="260"/>
      <c r="O150" s="260"/>
      <c r="P150" s="273"/>
      <c r="Q150" s="274"/>
    </row>
    <row r="151" spans="1:17" ht="13.95" customHeight="1" x14ac:dyDescent="0.25">
      <c r="A151" s="166"/>
      <c r="B151" s="269"/>
      <c r="C151" s="375" t="s">
        <v>2613</v>
      </c>
      <c r="D151" s="1106"/>
      <c r="E151" s="1106"/>
      <c r="F151" s="1106"/>
      <c r="G151" s="1106"/>
      <c r="H151" s="1106"/>
      <c r="I151" s="372"/>
      <c r="J151" s="260"/>
      <c r="K151" s="260"/>
      <c r="L151" s="260"/>
      <c r="M151" s="260"/>
      <c r="N151" s="260"/>
      <c r="O151" s="260"/>
      <c r="P151" s="273"/>
      <c r="Q151" s="274"/>
    </row>
    <row r="152" spans="1:17" ht="13.95" customHeight="1" x14ac:dyDescent="0.25">
      <c r="A152" s="166"/>
      <c r="B152" s="269"/>
      <c r="C152" s="375" t="s">
        <v>319</v>
      </c>
      <c r="D152" s="1106"/>
      <c r="E152" s="1106"/>
      <c r="F152" s="1106"/>
      <c r="G152" s="1106"/>
      <c r="H152" s="1106"/>
      <c r="I152" s="372"/>
      <c r="J152" s="260"/>
      <c r="K152" s="260"/>
      <c r="L152" s="260"/>
      <c r="M152" s="260"/>
      <c r="N152" s="260"/>
      <c r="O152" s="260"/>
      <c r="P152" s="273"/>
      <c r="Q152" s="274"/>
    </row>
    <row r="153" spans="1:17" ht="13.95" customHeight="1" x14ac:dyDescent="0.25">
      <c r="A153" s="166"/>
      <c r="B153" s="269"/>
      <c r="C153" s="375" t="s">
        <v>320</v>
      </c>
      <c r="D153" s="1106"/>
      <c r="E153" s="1106"/>
      <c r="F153" s="1106"/>
      <c r="G153" s="1106"/>
      <c r="H153" s="1106"/>
      <c r="I153" s="372"/>
      <c r="J153" s="260"/>
      <c r="K153" s="260"/>
      <c r="L153" s="260"/>
      <c r="M153" s="260"/>
      <c r="N153" s="260"/>
      <c r="O153" s="260"/>
      <c r="P153" s="273"/>
      <c r="Q153" s="274"/>
    </row>
    <row r="154" spans="1:17" ht="13.95" customHeight="1" x14ac:dyDescent="0.25">
      <c r="A154" s="166"/>
      <c r="B154" s="269"/>
      <c r="C154" s="375" t="s">
        <v>321</v>
      </c>
      <c r="D154" s="1106"/>
      <c r="E154" s="1106"/>
      <c r="F154" s="1106"/>
      <c r="G154" s="1106"/>
      <c r="H154" s="1106"/>
      <c r="I154" s="372"/>
      <c r="J154" s="260"/>
      <c r="K154" s="260"/>
      <c r="L154" s="260"/>
      <c r="M154" s="260"/>
      <c r="N154" s="260"/>
      <c r="O154" s="260"/>
      <c r="P154" s="273"/>
      <c r="Q154" s="274"/>
    </row>
    <row r="155" spans="1:17" ht="13.95" customHeight="1" x14ac:dyDescent="0.25">
      <c r="A155" s="166"/>
      <c r="B155" s="269"/>
      <c r="C155" s="375" t="s">
        <v>322</v>
      </c>
      <c r="D155" s="1106"/>
      <c r="E155" s="1106"/>
      <c r="F155" s="1106"/>
      <c r="G155" s="1106"/>
      <c r="H155" s="1106"/>
      <c r="I155" s="372"/>
      <c r="J155" s="260"/>
      <c r="K155" s="260"/>
      <c r="L155" s="260"/>
      <c r="M155" s="260"/>
      <c r="N155" s="260"/>
      <c r="O155" s="260"/>
      <c r="P155" s="273"/>
      <c r="Q155" s="274"/>
    </row>
    <row r="156" spans="1:17" ht="13.95" customHeight="1" x14ac:dyDescent="0.25">
      <c r="A156" s="166"/>
      <c r="B156" s="269"/>
      <c r="C156" s="375" t="s">
        <v>323</v>
      </c>
      <c r="D156" s="1106"/>
      <c r="E156" s="1106"/>
      <c r="F156" s="1106"/>
      <c r="G156" s="1106"/>
      <c r="H156" s="1106"/>
      <c r="I156" s="372"/>
      <c r="J156" s="260"/>
      <c r="K156" s="260"/>
      <c r="L156" s="260"/>
      <c r="M156" s="260"/>
      <c r="N156" s="260"/>
      <c r="O156" s="260"/>
      <c r="P156" s="273"/>
      <c r="Q156" s="274"/>
    </row>
    <row r="157" spans="1:17" ht="13.95" customHeight="1" x14ac:dyDescent="0.25">
      <c r="A157" s="166"/>
      <c r="B157" s="269"/>
      <c r="C157" s="375" t="s">
        <v>324</v>
      </c>
      <c r="D157" s="1106"/>
      <c r="E157" s="1106"/>
      <c r="F157" s="1106"/>
      <c r="G157" s="1106"/>
      <c r="H157" s="1106"/>
      <c r="I157" s="372"/>
      <c r="J157" s="260"/>
      <c r="K157" s="260"/>
      <c r="L157" s="260"/>
      <c r="M157" s="260"/>
      <c r="N157" s="260"/>
      <c r="O157" s="260"/>
      <c r="P157" s="273"/>
      <c r="Q157" s="274"/>
    </row>
    <row r="158" spans="1:17" ht="13.95" customHeight="1" x14ac:dyDescent="0.25">
      <c r="A158" s="166"/>
      <c r="B158" s="269"/>
      <c r="C158" s="375" t="s">
        <v>325</v>
      </c>
      <c r="D158" s="1106"/>
      <c r="E158" s="1106"/>
      <c r="F158" s="1106"/>
      <c r="G158" s="1106"/>
      <c r="H158" s="1106"/>
      <c r="I158" s="372"/>
      <c r="J158" s="260"/>
      <c r="K158" s="260"/>
      <c r="L158" s="260"/>
      <c r="M158" s="260"/>
      <c r="N158" s="260"/>
      <c r="O158" s="260"/>
      <c r="P158" s="273"/>
      <c r="Q158" s="274"/>
    </row>
    <row r="159" spans="1:17" ht="13.95" customHeight="1" x14ac:dyDescent="0.25">
      <c r="A159" s="166"/>
      <c r="B159" s="269"/>
      <c r="C159" s="375" t="s">
        <v>326</v>
      </c>
      <c r="D159" s="1106"/>
      <c r="E159" s="1106"/>
      <c r="F159" s="1106"/>
      <c r="G159" s="1106"/>
      <c r="H159" s="1106"/>
      <c r="I159" s="372"/>
      <c r="J159" s="260"/>
      <c r="K159" s="260"/>
      <c r="L159" s="260"/>
      <c r="M159" s="260"/>
      <c r="N159" s="260"/>
      <c r="O159" s="260"/>
      <c r="P159" s="273"/>
      <c r="Q159" s="274"/>
    </row>
    <row r="160" spans="1:17" ht="13.95" customHeight="1" x14ac:dyDescent="0.25">
      <c r="A160" s="166"/>
      <c r="B160" s="269"/>
      <c r="C160" s="375" t="s">
        <v>329</v>
      </c>
      <c r="D160" s="1106"/>
      <c r="E160" s="1106"/>
      <c r="F160" s="1106"/>
      <c r="G160" s="1106"/>
      <c r="H160" s="1106"/>
      <c r="I160" s="372"/>
      <c r="J160" s="260"/>
      <c r="K160" s="260"/>
      <c r="L160" s="260"/>
      <c r="M160" s="260"/>
      <c r="N160" s="260"/>
      <c r="O160" s="260"/>
      <c r="P160" s="273"/>
      <c r="Q160" s="274"/>
    </row>
    <row r="161" spans="1:17" ht="13.95" customHeight="1" x14ac:dyDescent="0.25">
      <c r="A161" s="166"/>
      <c r="B161" s="269"/>
      <c r="C161" s="375" t="s">
        <v>330</v>
      </c>
      <c r="D161" s="1106"/>
      <c r="E161" s="1106"/>
      <c r="F161" s="1106"/>
      <c r="G161" s="1106"/>
      <c r="H161" s="1106"/>
      <c r="I161" s="372"/>
      <c r="J161" s="260"/>
      <c r="K161" s="260"/>
      <c r="L161" s="260"/>
      <c r="M161" s="260"/>
      <c r="N161" s="260"/>
      <c r="O161" s="260"/>
      <c r="P161" s="273"/>
      <c r="Q161" s="274"/>
    </row>
    <row r="162" spans="1:17" ht="13.95" customHeight="1" x14ac:dyDescent="0.25">
      <c r="A162" s="166"/>
      <c r="B162" s="269"/>
      <c r="C162" s="375" t="s">
        <v>331</v>
      </c>
      <c r="D162" s="1106"/>
      <c r="E162" s="1106"/>
      <c r="F162" s="1106"/>
      <c r="G162" s="1106"/>
      <c r="H162" s="1106"/>
      <c r="I162" s="372"/>
      <c r="J162" s="260"/>
      <c r="K162" s="260"/>
      <c r="L162" s="260"/>
      <c r="M162" s="260"/>
      <c r="N162" s="260"/>
      <c r="O162" s="260"/>
      <c r="P162" s="273"/>
      <c r="Q162" s="274"/>
    </row>
    <row r="163" spans="1:17" ht="13.95" customHeight="1" x14ac:dyDescent="0.25">
      <c r="A163" s="166"/>
      <c r="B163" s="269"/>
      <c r="C163" s="375" t="s">
        <v>332</v>
      </c>
      <c r="D163" s="1106"/>
      <c r="E163" s="1106"/>
      <c r="F163" s="1106"/>
      <c r="G163" s="1106"/>
      <c r="H163" s="1106"/>
      <c r="I163" s="372"/>
      <c r="J163" s="260"/>
      <c r="K163" s="260"/>
      <c r="L163" s="260"/>
      <c r="M163" s="260"/>
      <c r="N163" s="260"/>
      <c r="O163" s="260"/>
      <c r="P163" s="273"/>
      <c r="Q163" s="274"/>
    </row>
    <row r="164" spans="1:17" ht="13.95" customHeight="1" x14ac:dyDescent="0.25">
      <c r="A164" s="166"/>
      <c r="B164" s="269"/>
      <c r="C164" s="375" t="s">
        <v>333</v>
      </c>
      <c r="D164" s="1106"/>
      <c r="E164" s="1106"/>
      <c r="F164" s="1106"/>
      <c r="G164" s="1106"/>
      <c r="H164" s="1106"/>
      <c r="I164" s="372"/>
      <c r="J164" s="260"/>
      <c r="K164" s="260"/>
      <c r="L164" s="260"/>
      <c r="M164" s="260"/>
      <c r="N164" s="260"/>
      <c r="O164" s="260"/>
      <c r="P164" s="273"/>
      <c r="Q164" s="274"/>
    </row>
    <row r="165" spans="1:17" ht="13.95" customHeight="1" x14ac:dyDescent="0.25">
      <c r="A165" s="166"/>
      <c r="B165" s="269"/>
      <c r="C165" s="375" t="s">
        <v>334</v>
      </c>
      <c r="D165" s="1106"/>
      <c r="E165" s="1106"/>
      <c r="F165" s="1106"/>
      <c r="G165" s="1106"/>
      <c r="H165" s="1106"/>
      <c r="I165" s="372"/>
      <c r="J165" s="260"/>
      <c r="K165" s="260"/>
      <c r="L165" s="260"/>
      <c r="M165" s="260"/>
      <c r="N165" s="260"/>
      <c r="O165" s="260"/>
      <c r="P165" s="273"/>
      <c r="Q165" s="274"/>
    </row>
    <row r="166" spans="1:17" ht="13.95" customHeight="1" x14ac:dyDescent="0.25">
      <c r="A166" s="166"/>
      <c r="B166" s="269"/>
      <c r="C166" s="375" t="s">
        <v>335</v>
      </c>
      <c r="D166" s="1106"/>
      <c r="E166" s="1106"/>
      <c r="F166" s="1106"/>
      <c r="G166" s="1106"/>
      <c r="H166" s="1106"/>
      <c r="I166" s="372"/>
      <c r="J166" s="260"/>
      <c r="K166" s="260"/>
      <c r="L166" s="260"/>
      <c r="M166" s="260"/>
      <c r="N166" s="260"/>
      <c r="O166" s="260"/>
      <c r="P166" s="273"/>
      <c r="Q166" s="274"/>
    </row>
    <row r="167" spans="1:17" ht="13.95" customHeight="1" x14ac:dyDescent="0.25">
      <c r="A167" s="166"/>
      <c r="B167" s="269"/>
      <c r="C167" s="375" t="s">
        <v>1008</v>
      </c>
      <c r="D167" s="1106"/>
      <c r="E167" s="1106"/>
      <c r="F167" s="1106"/>
      <c r="G167" s="1106"/>
      <c r="H167" s="1106"/>
      <c r="I167" s="372"/>
      <c r="J167" s="260"/>
      <c r="K167" s="260"/>
      <c r="L167" s="260"/>
      <c r="M167" s="260"/>
      <c r="N167" s="260"/>
      <c r="O167" s="260"/>
      <c r="P167" s="273"/>
      <c r="Q167" s="274"/>
    </row>
    <row r="168" spans="1:17" ht="13.95" customHeight="1" x14ac:dyDescent="0.25">
      <c r="A168" s="166"/>
      <c r="B168" s="269"/>
      <c r="C168" s="375" t="s">
        <v>1009</v>
      </c>
      <c r="D168" s="1106"/>
      <c r="E168" s="1106"/>
      <c r="F168" s="1106"/>
      <c r="G168" s="1106"/>
      <c r="H168" s="1106"/>
      <c r="I168" s="372"/>
      <c r="J168" s="260"/>
      <c r="K168" s="260"/>
      <c r="L168" s="260"/>
      <c r="M168" s="260"/>
      <c r="N168" s="260"/>
      <c r="O168" s="260"/>
      <c r="P168" s="273"/>
      <c r="Q168" s="274"/>
    </row>
    <row r="169" spans="1:17" ht="13.95" customHeight="1" x14ac:dyDescent="0.25">
      <c r="A169" s="166"/>
      <c r="B169" s="269"/>
      <c r="C169" s="375" t="s">
        <v>1010</v>
      </c>
      <c r="D169" s="1106"/>
      <c r="E169" s="1106"/>
      <c r="F169" s="1106"/>
      <c r="G169" s="1106"/>
      <c r="H169" s="1106"/>
      <c r="I169" s="372"/>
      <c r="J169" s="260"/>
      <c r="K169" s="260"/>
      <c r="L169" s="260"/>
      <c r="M169" s="260"/>
      <c r="N169" s="260"/>
      <c r="O169" s="260"/>
      <c r="P169" s="273"/>
      <c r="Q169" s="274"/>
    </row>
    <row r="170" spans="1:17" ht="13.95" customHeight="1" x14ac:dyDescent="0.25">
      <c r="A170" s="166"/>
      <c r="B170" s="269"/>
      <c r="C170" s="375" t="s">
        <v>1011</v>
      </c>
      <c r="D170" s="1106"/>
      <c r="E170" s="1106"/>
      <c r="F170" s="1106"/>
      <c r="G170" s="1106"/>
      <c r="H170" s="1106"/>
      <c r="I170" s="372"/>
      <c r="J170" s="260"/>
      <c r="K170" s="260"/>
      <c r="L170" s="260"/>
      <c r="M170" s="260"/>
      <c r="N170" s="260"/>
      <c r="O170" s="260"/>
      <c r="P170" s="273"/>
      <c r="Q170" s="274"/>
    </row>
    <row r="171" spans="1:17" ht="13.95" customHeight="1" x14ac:dyDescent="0.25">
      <c r="A171" s="166"/>
      <c r="B171" s="269"/>
      <c r="C171" s="375" t="s">
        <v>1012</v>
      </c>
      <c r="D171" s="1106"/>
      <c r="E171" s="1106"/>
      <c r="F171" s="1106"/>
      <c r="G171" s="1106"/>
      <c r="H171" s="1106"/>
      <c r="I171" s="372"/>
      <c r="J171" s="260"/>
      <c r="K171" s="260"/>
      <c r="L171" s="260"/>
      <c r="M171" s="260"/>
      <c r="N171" s="260"/>
      <c r="O171" s="260"/>
      <c r="P171" s="273"/>
      <c r="Q171" s="274"/>
    </row>
    <row r="172" spans="1:17" ht="13.95" customHeight="1" x14ac:dyDescent="0.25">
      <c r="A172" s="166"/>
      <c r="B172" s="269"/>
      <c r="C172" s="375" t="s">
        <v>1013</v>
      </c>
      <c r="D172" s="1106"/>
      <c r="E172" s="1106"/>
      <c r="F172" s="1106"/>
      <c r="G172" s="1106"/>
      <c r="H172" s="1106"/>
      <c r="I172" s="372"/>
      <c r="J172" s="260"/>
      <c r="K172" s="260"/>
      <c r="L172" s="260"/>
      <c r="M172" s="260"/>
      <c r="N172" s="260"/>
      <c r="O172" s="260"/>
      <c r="P172" s="273"/>
      <c r="Q172" s="274"/>
    </row>
    <row r="173" spans="1:17" ht="13.95" customHeight="1" x14ac:dyDescent="0.25">
      <c r="A173" s="166"/>
      <c r="B173" s="269"/>
      <c r="C173" s="375" t="s">
        <v>1014</v>
      </c>
      <c r="D173" s="1106"/>
      <c r="E173" s="1106"/>
      <c r="F173" s="1106"/>
      <c r="G173" s="1106"/>
      <c r="H173" s="1106"/>
      <c r="I173" s="372"/>
      <c r="J173" s="260"/>
      <c r="K173" s="260"/>
      <c r="L173" s="260"/>
      <c r="M173" s="260"/>
      <c r="N173" s="260"/>
      <c r="O173" s="260"/>
      <c r="P173" s="273"/>
      <c r="Q173" s="274"/>
    </row>
    <row r="174" spans="1:17" ht="13.95" customHeight="1" x14ac:dyDescent="0.25">
      <c r="A174" s="166"/>
      <c r="B174" s="269"/>
      <c r="C174" s="375" t="s">
        <v>86</v>
      </c>
      <c r="D174" s="1106"/>
      <c r="E174" s="1106"/>
      <c r="F174" s="1106"/>
      <c r="G174" s="1106"/>
      <c r="H174" s="1106"/>
      <c r="I174" s="372"/>
      <c r="J174" s="260"/>
      <c r="K174" s="260"/>
      <c r="L174" s="260"/>
      <c r="M174" s="260"/>
      <c r="N174" s="260"/>
      <c r="O174" s="260"/>
      <c r="P174" s="273"/>
      <c r="Q174" s="274"/>
    </row>
    <row r="175" spans="1:17" ht="13.95" customHeight="1" x14ac:dyDescent="0.25">
      <c r="A175" s="166"/>
      <c r="B175" s="269"/>
      <c r="C175" s="375" t="s">
        <v>88</v>
      </c>
      <c r="D175" s="1106"/>
      <c r="E175" s="1106"/>
      <c r="F175" s="1106"/>
      <c r="G175" s="1106"/>
      <c r="H175" s="1106"/>
      <c r="I175" s="372"/>
      <c r="J175" s="260"/>
      <c r="K175" s="260"/>
      <c r="L175" s="260"/>
      <c r="M175" s="260"/>
      <c r="N175" s="260"/>
      <c r="O175" s="260"/>
      <c r="P175" s="273"/>
      <c r="Q175" s="274"/>
    </row>
    <row r="176" spans="1:17" ht="13.95" customHeight="1" x14ac:dyDescent="0.25">
      <c r="A176" s="166"/>
      <c r="B176" s="269"/>
      <c r="C176" s="375" t="s">
        <v>89</v>
      </c>
      <c r="D176" s="1106"/>
      <c r="E176" s="1106"/>
      <c r="F176" s="1106"/>
      <c r="G176" s="1106"/>
      <c r="H176" s="1106"/>
      <c r="I176" s="372"/>
      <c r="J176" s="260"/>
      <c r="K176" s="260"/>
      <c r="L176" s="260"/>
      <c r="M176" s="260"/>
      <c r="N176" s="260"/>
      <c r="O176" s="260"/>
      <c r="P176" s="273"/>
      <c r="Q176" s="274"/>
    </row>
    <row r="177" spans="1:17" ht="13.95" customHeight="1" x14ac:dyDescent="0.25">
      <c r="A177" s="166"/>
      <c r="B177" s="269"/>
      <c r="C177" s="375" t="s">
        <v>91</v>
      </c>
      <c r="D177" s="1106"/>
      <c r="E177" s="1106"/>
      <c r="F177" s="1106"/>
      <c r="G177" s="1106"/>
      <c r="H177" s="1106"/>
      <c r="I177" s="372"/>
      <c r="J177" s="260"/>
      <c r="K177" s="260"/>
      <c r="L177" s="260"/>
      <c r="M177" s="260"/>
      <c r="N177" s="260"/>
      <c r="O177" s="260"/>
      <c r="P177" s="273"/>
      <c r="Q177" s="274"/>
    </row>
    <row r="178" spans="1:17" ht="13.95" customHeight="1" x14ac:dyDescent="0.25">
      <c r="A178" s="166"/>
      <c r="B178" s="269"/>
      <c r="C178" s="375" t="s">
        <v>93</v>
      </c>
      <c r="D178" s="1106"/>
      <c r="E178" s="1106"/>
      <c r="F178" s="1106"/>
      <c r="G178" s="1106"/>
      <c r="H178" s="1106"/>
      <c r="I178" s="372"/>
      <c r="J178" s="260"/>
      <c r="K178" s="260"/>
      <c r="L178" s="260"/>
      <c r="M178" s="260"/>
      <c r="N178" s="260"/>
      <c r="O178" s="260"/>
      <c r="P178" s="273"/>
      <c r="Q178" s="274"/>
    </row>
    <row r="179" spans="1:17" ht="13.95" customHeight="1" x14ac:dyDescent="0.25">
      <c r="A179" s="166"/>
      <c r="B179" s="269"/>
      <c r="C179" s="375" t="s">
        <v>95</v>
      </c>
      <c r="D179" s="1106"/>
      <c r="E179" s="1106"/>
      <c r="F179" s="1106"/>
      <c r="G179" s="1106"/>
      <c r="H179" s="1106"/>
      <c r="I179" s="372"/>
      <c r="J179" s="260"/>
      <c r="K179" s="260"/>
      <c r="L179" s="260"/>
      <c r="M179" s="260"/>
      <c r="N179" s="260"/>
      <c r="O179" s="260"/>
      <c r="P179" s="273"/>
      <c r="Q179" s="274"/>
    </row>
    <row r="180" spans="1:17" ht="13.95" customHeight="1" x14ac:dyDescent="0.25">
      <c r="A180" s="166"/>
      <c r="B180" s="269"/>
      <c r="C180" s="375" t="s">
        <v>939</v>
      </c>
      <c r="D180" s="1106"/>
      <c r="E180" s="1106"/>
      <c r="F180" s="1106"/>
      <c r="G180" s="1106"/>
      <c r="H180" s="1106"/>
      <c r="I180" s="372"/>
      <c r="J180" s="260"/>
      <c r="K180" s="260"/>
      <c r="L180" s="260"/>
      <c r="M180" s="260"/>
      <c r="N180" s="260"/>
      <c r="O180" s="260"/>
      <c r="P180" s="273"/>
      <c r="Q180" s="274"/>
    </row>
    <row r="181" spans="1:17" ht="13.95" customHeight="1" x14ac:dyDescent="0.25">
      <c r="A181" s="166"/>
      <c r="B181" s="269"/>
      <c r="C181" s="375" t="s">
        <v>940</v>
      </c>
      <c r="D181" s="1106"/>
      <c r="E181" s="1106"/>
      <c r="F181" s="1106"/>
      <c r="G181" s="1106"/>
      <c r="H181" s="1106"/>
      <c r="I181" s="372"/>
      <c r="J181" s="260"/>
      <c r="K181" s="260"/>
      <c r="L181" s="260"/>
      <c r="M181" s="260"/>
      <c r="N181" s="260"/>
      <c r="O181" s="260"/>
      <c r="P181" s="273"/>
      <c r="Q181" s="274"/>
    </row>
    <row r="182" spans="1:17" ht="13.95" customHeight="1" x14ac:dyDescent="0.25">
      <c r="A182" s="166"/>
      <c r="B182" s="269"/>
      <c r="C182" s="375" t="s">
        <v>97</v>
      </c>
      <c r="D182" s="1106"/>
      <c r="E182" s="1106"/>
      <c r="F182" s="1106"/>
      <c r="G182" s="1106"/>
      <c r="H182" s="1106"/>
      <c r="I182" s="372"/>
      <c r="J182" s="260"/>
      <c r="K182" s="260"/>
      <c r="L182" s="260"/>
      <c r="M182" s="260"/>
      <c r="N182" s="260"/>
      <c r="O182" s="260"/>
      <c r="P182" s="273"/>
      <c r="Q182" s="274"/>
    </row>
    <row r="183" spans="1:17" ht="13.95" customHeight="1" x14ac:dyDescent="0.25">
      <c r="A183" s="166"/>
      <c r="B183" s="269"/>
      <c r="C183" s="375" t="s">
        <v>98</v>
      </c>
      <c r="D183" s="1106"/>
      <c r="E183" s="1106"/>
      <c r="F183" s="1106"/>
      <c r="G183" s="1106"/>
      <c r="H183" s="1106"/>
      <c r="I183" s="372"/>
      <c r="J183" s="260"/>
      <c r="K183" s="260"/>
      <c r="L183" s="260"/>
      <c r="M183" s="260"/>
      <c r="N183" s="260"/>
      <c r="O183" s="260"/>
      <c r="P183" s="273"/>
      <c r="Q183" s="274"/>
    </row>
    <row r="184" spans="1:17" ht="13.95" customHeight="1" x14ac:dyDescent="0.25">
      <c r="A184" s="166"/>
      <c r="B184" s="269"/>
      <c r="C184" s="375" t="s">
        <v>99</v>
      </c>
      <c r="D184" s="1106"/>
      <c r="E184" s="1106"/>
      <c r="F184" s="1106"/>
      <c r="G184" s="1106"/>
      <c r="H184" s="1106"/>
      <c r="I184" s="372"/>
      <c r="J184" s="260"/>
      <c r="K184" s="260"/>
      <c r="L184" s="260"/>
      <c r="M184" s="260"/>
      <c r="N184" s="260"/>
      <c r="O184" s="260"/>
      <c r="P184" s="273"/>
      <c r="Q184" s="274"/>
    </row>
    <row r="185" spans="1:17" ht="13.95" customHeight="1" x14ac:dyDescent="0.25">
      <c r="A185" s="166"/>
      <c r="B185" s="269"/>
      <c r="C185" s="375" t="s">
        <v>100</v>
      </c>
      <c r="D185" s="1106"/>
      <c r="E185" s="1106"/>
      <c r="F185" s="1106"/>
      <c r="G185" s="1106"/>
      <c r="H185" s="1106"/>
      <c r="I185" s="372"/>
      <c r="J185" s="260"/>
      <c r="K185" s="260"/>
      <c r="L185" s="260"/>
      <c r="M185" s="260"/>
      <c r="N185" s="260"/>
      <c r="O185" s="260"/>
      <c r="P185" s="273"/>
      <c r="Q185" s="274"/>
    </row>
    <row r="186" spans="1:17" ht="13.95" customHeight="1" x14ac:dyDescent="0.25">
      <c r="A186" s="166"/>
      <c r="B186" s="269"/>
      <c r="C186" s="375" t="s">
        <v>101</v>
      </c>
      <c r="D186" s="1106"/>
      <c r="E186" s="1106"/>
      <c r="F186" s="1106"/>
      <c r="G186" s="1106"/>
      <c r="H186" s="1106"/>
      <c r="I186" s="372"/>
      <c r="J186" s="260"/>
      <c r="K186" s="260"/>
      <c r="L186" s="260"/>
      <c r="M186" s="260"/>
      <c r="N186" s="260"/>
      <c r="O186" s="260"/>
      <c r="P186" s="273"/>
      <c r="Q186" s="274"/>
    </row>
    <row r="187" spans="1:17" ht="13.95" customHeight="1" x14ac:dyDescent="0.25">
      <c r="A187" s="166"/>
      <c r="B187" s="269"/>
      <c r="C187" s="375" t="s">
        <v>102</v>
      </c>
      <c r="D187" s="1106"/>
      <c r="E187" s="1106"/>
      <c r="F187" s="1106"/>
      <c r="G187" s="1106"/>
      <c r="H187" s="1106"/>
      <c r="I187" s="372"/>
      <c r="J187" s="260"/>
      <c r="K187" s="260"/>
      <c r="L187" s="260"/>
      <c r="M187" s="260"/>
      <c r="N187" s="260"/>
      <c r="O187" s="260"/>
      <c r="P187" s="273"/>
      <c r="Q187" s="274"/>
    </row>
    <row r="188" spans="1:17" ht="13.95" customHeight="1" x14ac:dyDescent="0.25">
      <c r="A188" s="166"/>
      <c r="B188" s="269"/>
      <c r="C188" s="375" t="s">
        <v>942</v>
      </c>
      <c r="D188" s="1106"/>
      <c r="E188" s="1106"/>
      <c r="F188" s="1106"/>
      <c r="G188" s="1106"/>
      <c r="H188" s="1106"/>
      <c r="I188" s="372"/>
      <c r="J188" s="260"/>
      <c r="K188" s="260"/>
      <c r="L188" s="260"/>
      <c r="M188" s="260"/>
      <c r="N188" s="260"/>
      <c r="O188" s="260"/>
      <c r="P188" s="273"/>
      <c r="Q188" s="274"/>
    </row>
    <row r="189" spans="1:17" ht="13.95" customHeight="1" x14ac:dyDescent="0.25">
      <c r="A189" s="166"/>
      <c r="B189" s="269"/>
      <c r="C189" s="375" t="s">
        <v>943</v>
      </c>
      <c r="D189" s="1106"/>
      <c r="E189" s="1106"/>
      <c r="F189" s="1106"/>
      <c r="G189" s="1106"/>
      <c r="H189" s="1106"/>
      <c r="I189" s="372"/>
      <c r="J189" s="260"/>
      <c r="K189" s="260"/>
      <c r="L189" s="260"/>
      <c r="M189" s="260"/>
      <c r="N189" s="260"/>
      <c r="O189" s="260"/>
      <c r="P189" s="273"/>
      <c r="Q189" s="274"/>
    </row>
    <row r="190" spans="1:17" ht="13.95" customHeight="1" x14ac:dyDescent="0.25">
      <c r="A190" s="166"/>
      <c r="B190" s="269"/>
      <c r="C190" s="375" t="s">
        <v>105</v>
      </c>
      <c r="D190" s="1106"/>
      <c r="E190" s="1106"/>
      <c r="F190" s="1106"/>
      <c r="G190" s="1106"/>
      <c r="H190" s="1106"/>
      <c r="I190" s="372"/>
      <c r="J190" s="260"/>
      <c r="K190" s="260"/>
      <c r="L190" s="260"/>
      <c r="M190" s="260"/>
      <c r="N190" s="260"/>
      <c r="O190" s="260"/>
      <c r="P190" s="273"/>
      <c r="Q190" s="274"/>
    </row>
    <row r="191" spans="1:17" ht="13.95" customHeight="1" x14ac:dyDescent="0.25">
      <c r="A191" s="166"/>
      <c r="B191" s="269"/>
      <c r="C191" s="375" t="s">
        <v>107</v>
      </c>
      <c r="D191" s="1106"/>
      <c r="E191" s="1106"/>
      <c r="F191" s="1106"/>
      <c r="G191" s="1106"/>
      <c r="H191" s="1106"/>
      <c r="I191" s="372"/>
      <c r="J191" s="260"/>
      <c r="K191" s="260"/>
      <c r="L191" s="260"/>
      <c r="M191" s="260"/>
      <c r="N191" s="260"/>
      <c r="O191" s="260"/>
      <c r="P191" s="273"/>
      <c r="Q191" s="274"/>
    </row>
    <row r="192" spans="1:17" ht="13.95" customHeight="1" x14ac:dyDescent="0.25">
      <c r="A192" s="166"/>
      <c r="B192" s="269"/>
      <c r="C192" s="375" t="s">
        <v>109</v>
      </c>
      <c r="D192" s="1106"/>
      <c r="E192" s="1106"/>
      <c r="F192" s="1106"/>
      <c r="G192" s="1106"/>
      <c r="H192" s="1106"/>
      <c r="I192" s="372"/>
      <c r="J192" s="260"/>
      <c r="K192" s="260"/>
      <c r="L192" s="260"/>
      <c r="M192" s="260"/>
      <c r="N192" s="260"/>
      <c r="O192" s="260"/>
      <c r="P192" s="273"/>
      <c r="Q192" s="274"/>
    </row>
    <row r="193" spans="1:17" ht="13.95" customHeight="1" x14ac:dyDescent="0.25">
      <c r="A193" s="166"/>
      <c r="B193" s="269"/>
      <c r="C193" s="375" t="s">
        <v>111</v>
      </c>
      <c r="D193" s="1106"/>
      <c r="E193" s="1106"/>
      <c r="F193" s="1106"/>
      <c r="G193" s="1106"/>
      <c r="H193" s="1106"/>
      <c r="I193" s="372"/>
      <c r="J193" s="260"/>
      <c r="K193" s="260"/>
      <c r="L193" s="260"/>
      <c r="M193" s="260"/>
      <c r="N193" s="260"/>
      <c r="O193" s="260"/>
      <c r="P193" s="273"/>
      <c r="Q193" s="274"/>
    </row>
    <row r="194" spans="1:17" ht="13.95" customHeight="1" x14ac:dyDescent="0.25">
      <c r="A194" s="166"/>
      <c r="B194" s="269"/>
      <c r="C194" s="375" t="s">
        <v>113</v>
      </c>
      <c r="D194" s="1106"/>
      <c r="E194" s="1106"/>
      <c r="F194" s="1106"/>
      <c r="G194" s="1106"/>
      <c r="H194" s="1106"/>
      <c r="I194" s="372"/>
      <c r="J194" s="260"/>
      <c r="K194" s="260"/>
      <c r="L194" s="260"/>
      <c r="M194" s="260"/>
      <c r="N194" s="260"/>
      <c r="O194" s="260"/>
      <c r="P194" s="273"/>
      <c r="Q194" s="274"/>
    </row>
    <row r="195" spans="1:17" ht="13.95" customHeight="1" x14ac:dyDescent="0.25">
      <c r="A195" s="166"/>
      <c r="B195" s="269"/>
      <c r="C195" s="375" t="s">
        <v>116</v>
      </c>
      <c r="D195" s="1106"/>
      <c r="E195" s="1106"/>
      <c r="F195" s="1106"/>
      <c r="G195" s="1106"/>
      <c r="H195" s="1106"/>
      <c r="I195" s="372"/>
      <c r="J195" s="260"/>
      <c r="K195" s="260"/>
      <c r="L195" s="260"/>
      <c r="M195" s="260"/>
      <c r="N195" s="260"/>
      <c r="O195" s="260"/>
      <c r="P195" s="273"/>
      <c r="Q195" s="274"/>
    </row>
    <row r="196" spans="1:17" ht="13.95" customHeight="1" x14ac:dyDescent="0.25">
      <c r="A196" s="166"/>
      <c r="B196" s="269"/>
      <c r="C196" s="375" t="s">
        <v>119</v>
      </c>
      <c r="D196" s="1106"/>
      <c r="E196" s="1106"/>
      <c r="F196" s="1106"/>
      <c r="G196" s="1106"/>
      <c r="H196" s="1106"/>
      <c r="I196" s="372"/>
      <c r="J196" s="260"/>
      <c r="K196" s="260"/>
      <c r="L196" s="260"/>
      <c r="M196" s="260"/>
      <c r="N196" s="260"/>
      <c r="O196" s="260"/>
      <c r="P196" s="273"/>
      <c r="Q196" s="274"/>
    </row>
    <row r="197" spans="1:17" ht="13.95" customHeight="1" x14ac:dyDescent="0.25">
      <c r="A197" s="166"/>
      <c r="B197" s="269"/>
      <c r="C197" s="375" t="s">
        <v>122</v>
      </c>
      <c r="D197" s="1106"/>
      <c r="E197" s="1106"/>
      <c r="F197" s="1106"/>
      <c r="G197" s="1106"/>
      <c r="H197" s="1106"/>
      <c r="I197" s="372"/>
      <c r="J197" s="260"/>
      <c r="K197" s="260"/>
      <c r="L197" s="260"/>
      <c r="M197" s="260"/>
      <c r="N197" s="260"/>
      <c r="O197" s="260"/>
      <c r="P197" s="273"/>
      <c r="Q197" s="274"/>
    </row>
    <row r="198" spans="1:17" ht="13.95" customHeight="1" x14ac:dyDescent="0.25">
      <c r="A198" s="166"/>
      <c r="B198" s="269"/>
      <c r="C198" s="375" t="s">
        <v>125</v>
      </c>
      <c r="D198" s="1106"/>
      <c r="E198" s="1106"/>
      <c r="F198" s="1106"/>
      <c r="G198" s="1106"/>
      <c r="H198" s="1106"/>
      <c r="I198" s="372"/>
      <c r="J198" s="260"/>
      <c r="K198" s="260"/>
      <c r="L198" s="260"/>
      <c r="M198" s="260"/>
      <c r="N198" s="260"/>
      <c r="O198" s="260"/>
      <c r="P198" s="273"/>
      <c r="Q198" s="274"/>
    </row>
    <row r="199" spans="1:17" ht="13.95" customHeight="1" x14ac:dyDescent="0.25">
      <c r="A199" s="166"/>
      <c r="B199" s="269"/>
      <c r="C199" s="375" t="s">
        <v>128</v>
      </c>
      <c r="D199" s="1106"/>
      <c r="E199" s="1106"/>
      <c r="F199" s="1106"/>
      <c r="G199" s="1106"/>
      <c r="H199" s="1106"/>
      <c r="I199" s="372"/>
      <c r="J199" s="260"/>
      <c r="K199" s="260"/>
      <c r="L199" s="260"/>
      <c r="M199" s="260"/>
      <c r="N199" s="260"/>
      <c r="O199" s="260"/>
      <c r="P199" s="273"/>
      <c r="Q199" s="274"/>
    </row>
    <row r="200" spans="1:17" ht="13.95" customHeight="1" x14ac:dyDescent="0.25">
      <c r="A200" s="166"/>
      <c r="B200" s="269"/>
      <c r="C200" s="375" t="s">
        <v>130</v>
      </c>
      <c r="D200" s="1106"/>
      <c r="E200" s="1106"/>
      <c r="F200" s="1106"/>
      <c r="G200" s="1106"/>
      <c r="H200" s="1106"/>
      <c r="I200" s="372"/>
      <c r="J200" s="260"/>
      <c r="K200" s="260"/>
      <c r="L200" s="260"/>
      <c r="M200" s="260"/>
      <c r="N200" s="260"/>
      <c r="O200" s="260"/>
      <c r="P200" s="273"/>
      <c r="Q200" s="274"/>
    </row>
    <row r="201" spans="1:17" ht="13.95" customHeight="1" x14ac:dyDescent="0.25">
      <c r="A201" s="166"/>
      <c r="B201" s="269"/>
      <c r="C201" s="375" t="s">
        <v>2614</v>
      </c>
      <c r="D201" s="1106"/>
      <c r="E201" s="1106"/>
      <c r="F201" s="1106"/>
      <c r="G201" s="1106"/>
      <c r="H201" s="1106"/>
      <c r="I201" s="372"/>
      <c r="J201" s="260"/>
      <c r="K201" s="260"/>
      <c r="L201" s="260"/>
      <c r="M201" s="260"/>
      <c r="N201" s="260"/>
      <c r="O201" s="260"/>
      <c r="P201" s="273"/>
      <c r="Q201" s="274"/>
    </row>
    <row r="202" spans="1:17" ht="13.95" customHeight="1" x14ac:dyDescent="0.25">
      <c r="A202" s="166"/>
      <c r="B202" s="269"/>
      <c r="C202" s="375" t="s">
        <v>2615</v>
      </c>
      <c r="D202" s="1106"/>
      <c r="E202" s="1106"/>
      <c r="F202" s="1106"/>
      <c r="G202" s="1106"/>
      <c r="H202" s="1106"/>
      <c r="I202" s="372"/>
      <c r="J202" s="260"/>
      <c r="K202" s="260"/>
      <c r="L202" s="260"/>
      <c r="M202" s="260"/>
      <c r="N202" s="260"/>
      <c r="O202" s="260"/>
      <c r="P202" s="273"/>
      <c r="Q202" s="274"/>
    </row>
    <row r="203" spans="1:17" ht="13.95" customHeight="1" x14ac:dyDescent="0.25">
      <c r="A203" s="166"/>
      <c r="B203" s="269"/>
      <c r="C203" s="375" t="s">
        <v>2616</v>
      </c>
      <c r="D203" s="1106"/>
      <c r="E203" s="1106"/>
      <c r="F203" s="1106"/>
      <c r="G203" s="1106"/>
      <c r="H203" s="1106"/>
      <c r="I203" s="372"/>
      <c r="J203" s="260"/>
      <c r="K203" s="260"/>
      <c r="L203" s="260"/>
      <c r="M203" s="260"/>
      <c r="N203" s="260"/>
      <c r="O203" s="260"/>
      <c r="P203" s="273"/>
      <c r="Q203" s="274"/>
    </row>
    <row r="204" spans="1:17" ht="13.95" customHeight="1" x14ac:dyDescent="0.25">
      <c r="A204" s="166"/>
      <c r="B204" s="269"/>
      <c r="C204" s="375" t="s">
        <v>133</v>
      </c>
      <c r="D204" s="1106"/>
      <c r="E204" s="1106"/>
      <c r="F204" s="1106"/>
      <c r="G204" s="1106"/>
      <c r="H204" s="1106"/>
      <c r="I204" s="372"/>
      <c r="J204" s="260"/>
      <c r="K204" s="260"/>
      <c r="L204" s="260"/>
      <c r="M204" s="260"/>
      <c r="N204" s="260"/>
      <c r="O204" s="260"/>
      <c r="P204" s="273"/>
      <c r="Q204" s="274"/>
    </row>
    <row r="205" spans="1:17" ht="13.95" customHeight="1" x14ac:dyDescent="0.25">
      <c r="A205" s="166"/>
      <c r="B205" s="269"/>
      <c r="C205" s="375" t="s">
        <v>136</v>
      </c>
      <c r="D205" s="1106"/>
      <c r="E205" s="1106"/>
      <c r="F205" s="1106"/>
      <c r="G205" s="1106"/>
      <c r="H205" s="1106"/>
      <c r="I205" s="372"/>
      <c r="J205" s="260"/>
      <c r="K205" s="260"/>
      <c r="L205" s="260"/>
      <c r="M205" s="260"/>
      <c r="N205" s="260"/>
      <c r="O205" s="260"/>
      <c r="P205" s="273"/>
      <c r="Q205" s="274"/>
    </row>
    <row r="206" spans="1:17" ht="13.95" customHeight="1" x14ac:dyDescent="0.25">
      <c r="A206" s="166"/>
      <c r="B206" s="269"/>
      <c r="C206" s="375" t="s">
        <v>139</v>
      </c>
      <c r="D206" s="1106"/>
      <c r="E206" s="1106"/>
      <c r="F206" s="1106"/>
      <c r="G206" s="1106"/>
      <c r="H206" s="1106"/>
      <c r="I206" s="372"/>
      <c r="J206" s="260"/>
      <c r="K206" s="260"/>
      <c r="L206" s="260"/>
      <c r="M206" s="260"/>
      <c r="N206" s="260"/>
      <c r="O206" s="260"/>
      <c r="P206" s="273"/>
      <c r="Q206" s="274"/>
    </row>
    <row r="207" spans="1:17" ht="13.95" customHeight="1" x14ac:dyDescent="0.25">
      <c r="A207" s="166"/>
      <c r="B207" s="269"/>
      <c r="C207" s="375" t="s">
        <v>141</v>
      </c>
      <c r="D207" s="1106"/>
      <c r="E207" s="1106"/>
      <c r="F207" s="1106"/>
      <c r="G207" s="1106"/>
      <c r="H207" s="1106"/>
      <c r="I207" s="372"/>
      <c r="J207" s="260"/>
      <c r="K207" s="260"/>
      <c r="L207" s="260"/>
      <c r="M207" s="260"/>
      <c r="N207" s="260"/>
      <c r="O207" s="260"/>
      <c r="P207" s="273"/>
      <c r="Q207" s="274"/>
    </row>
    <row r="208" spans="1:17" ht="13.95" customHeight="1" x14ac:dyDescent="0.25">
      <c r="A208" s="166"/>
      <c r="B208" s="269"/>
      <c r="C208" s="375" t="s">
        <v>143</v>
      </c>
      <c r="D208" s="1106"/>
      <c r="E208" s="1106"/>
      <c r="F208" s="1106"/>
      <c r="G208" s="1106"/>
      <c r="H208" s="1106"/>
      <c r="I208" s="372"/>
      <c r="J208" s="260"/>
      <c r="K208" s="260"/>
      <c r="L208" s="260"/>
      <c r="M208" s="260"/>
      <c r="N208" s="260"/>
      <c r="O208" s="260"/>
      <c r="P208" s="273"/>
      <c r="Q208" s="274"/>
    </row>
    <row r="209" spans="1:17" ht="13.95" customHeight="1" x14ac:dyDescent="0.25">
      <c r="A209" s="166"/>
      <c r="B209" s="269"/>
      <c r="C209" s="375" t="s">
        <v>145</v>
      </c>
      <c r="D209" s="1106"/>
      <c r="E209" s="1106"/>
      <c r="F209" s="1106"/>
      <c r="G209" s="1106"/>
      <c r="H209" s="1106"/>
      <c r="I209" s="372"/>
      <c r="J209" s="260"/>
      <c r="K209" s="260"/>
      <c r="L209" s="260"/>
      <c r="M209" s="260"/>
      <c r="N209" s="260"/>
      <c r="O209" s="260"/>
      <c r="P209" s="273"/>
      <c r="Q209" s="274"/>
    </row>
    <row r="210" spans="1:17" ht="13.95" customHeight="1" x14ac:dyDescent="0.25">
      <c r="A210" s="166"/>
      <c r="B210" s="269"/>
      <c r="C210" s="375" t="s">
        <v>362</v>
      </c>
      <c r="D210" s="1106"/>
      <c r="E210" s="1106"/>
      <c r="F210" s="1106"/>
      <c r="G210" s="1106"/>
      <c r="H210" s="1106"/>
      <c r="I210" s="372"/>
      <c r="J210" s="260"/>
      <c r="K210" s="260"/>
      <c r="L210" s="260"/>
      <c r="M210" s="260"/>
      <c r="N210" s="260"/>
      <c r="O210" s="260"/>
      <c r="P210" s="273"/>
      <c r="Q210" s="274"/>
    </row>
    <row r="211" spans="1:17" ht="13.95" customHeight="1" x14ac:dyDescent="0.25">
      <c r="A211" s="166"/>
      <c r="B211" s="269"/>
      <c r="C211" s="375" t="s">
        <v>363</v>
      </c>
      <c r="D211" s="1106"/>
      <c r="E211" s="1106"/>
      <c r="F211" s="1106"/>
      <c r="G211" s="1106"/>
      <c r="H211" s="1106"/>
      <c r="I211" s="372"/>
      <c r="J211" s="260"/>
      <c r="K211" s="260"/>
      <c r="L211" s="260"/>
      <c r="M211" s="260"/>
      <c r="N211" s="260"/>
      <c r="O211" s="260"/>
      <c r="P211" s="273"/>
      <c r="Q211" s="274"/>
    </row>
    <row r="212" spans="1:17" ht="13.95" customHeight="1" x14ac:dyDescent="0.25">
      <c r="A212" s="166"/>
      <c r="B212" s="269"/>
      <c r="C212" s="375" t="s">
        <v>364</v>
      </c>
      <c r="D212" s="1106"/>
      <c r="E212" s="1106"/>
      <c r="F212" s="1106"/>
      <c r="G212" s="1106"/>
      <c r="H212" s="1106"/>
      <c r="I212" s="372"/>
      <c r="J212" s="260"/>
      <c r="K212" s="260"/>
      <c r="L212" s="260"/>
      <c r="M212" s="260"/>
      <c r="N212" s="260"/>
      <c r="O212" s="260"/>
      <c r="P212" s="273"/>
      <c r="Q212" s="274"/>
    </row>
    <row r="213" spans="1:17" ht="13.95" customHeight="1" x14ac:dyDescent="0.25">
      <c r="A213" s="166"/>
      <c r="B213" s="269"/>
      <c r="C213" s="375" t="s">
        <v>365</v>
      </c>
      <c r="D213" s="1106"/>
      <c r="E213" s="1106"/>
      <c r="F213" s="1106"/>
      <c r="G213" s="1106"/>
      <c r="H213" s="1106"/>
      <c r="I213" s="372"/>
      <c r="J213" s="260"/>
      <c r="K213" s="260"/>
      <c r="L213" s="260"/>
      <c r="M213" s="260"/>
      <c r="N213" s="260"/>
      <c r="O213" s="260"/>
      <c r="P213" s="273"/>
      <c r="Q213" s="274"/>
    </row>
    <row r="214" spans="1:17" ht="13.95" customHeight="1" x14ac:dyDescent="0.25">
      <c r="A214" s="166"/>
      <c r="B214" s="269"/>
      <c r="C214" s="375" t="s">
        <v>366</v>
      </c>
      <c r="D214" s="1106"/>
      <c r="E214" s="1106"/>
      <c r="F214" s="1106"/>
      <c r="G214" s="1106"/>
      <c r="H214" s="1106"/>
      <c r="I214" s="372"/>
      <c r="J214" s="260"/>
      <c r="K214" s="260"/>
      <c r="L214" s="260"/>
      <c r="M214" s="260"/>
      <c r="N214" s="260"/>
      <c r="O214" s="260"/>
      <c r="P214" s="273"/>
      <c r="Q214" s="274"/>
    </row>
    <row r="215" spans="1:17" ht="13.95" customHeight="1" x14ac:dyDescent="0.25">
      <c r="A215" s="166"/>
      <c r="B215" s="269"/>
      <c r="C215" s="375" t="s">
        <v>367</v>
      </c>
      <c r="D215" s="1106"/>
      <c r="E215" s="1106"/>
      <c r="F215" s="1106"/>
      <c r="G215" s="1106"/>
      <c r="H215" s="1106"/>
      <c r="I215" s="372"/>
      <c r="J215" s="260"/>
      <c r="K215" s="260"/>
      <c r="L215" s="260"/>
      <c r="M215" s="260"/>
      <c r="N215" s="260"/>
      <c r="O215" s="260"/>
      <c r="P215" s="273"/>
      <c r="Q215" s="274"/>
    </row>
    <row r="216" spans="1:17" ht="13.95" customHeight="1" x14ac:dyDescent="0.25">
      <c r="A216" s="166"/>
      <c r="B216" s="269"/>
      <c r="C216" s="375" t="s">
        <v>368</v>
      </c>
      <c r="D216" s="1106"/>
      <c r="E216" s="1106"/>
      <c r="F216" s="1106"/>
      <c r="G216" s="1106"/>
      <c r="H216" s="1106"/>
      <c r="I216" s="372"/>
      <c r="J216" s="260"/>
      <c r="K216" s="260"/>
      <c r="L216" s="260"/>
      <c r="M216" s="260"/>
      <c r="N216" s="260"/>
      <c r="O216" s="260"/>
      <c r="P216" s="273"/>
      <c r="Q216" s="274"/>
    </row>
    <row r="217" spans="1:17" ht="13.95" customHeight="1" x14ac:dyDescent="0.25">
      <c r="A217" s="166"/>
      <c r="B217" s="269"/>
      <c r="C217" s="375" t="s">
        <v>369</v>
      </c>
      <c r="D217" s="1106"/>
      <c r="E217" s="1106"/>
      <c r="F217" s="1106"/>
      <c r="G217" s="1106"/>
      <c r="H217" s="1106"/>
      <c r="I217" s="372"/>
      <c r="J217" s="260"/>
      <c r="K217" s="260"/>
      <c r="L217" s="260"/>
      <c r="M217" s="260"/>
      <c r="N217" s="260"/>
      <c r="O217" s="260"/>
      <c r="P217" s="273"/>
      <c r="Q217" s="274"/>
    </row>
    <row r="218" spans="1:17" ht="13.95" customHeight="1" x14ac:dyDescent="0.25">
      <c r="A218" s="166"/>
      <c r="B218" s="269"/>
      <c r="C218" s="375" t="s">
        <v>370</v>
      </c>
      <c r="D218" s="1106"/>
      <c r="E218" s="1106"/>
      <c r="F218" s="1106"/>
      <c r="G218" s="1106"/>
      <c r="H218" s="1106"/>
      <c r="I218" s="372"/>
      <c r="J218" s="260"/>
      <c r="K218" s="260"/>
      <c r="L218" s="260"/>
      <c r="M218" s="260"/>
      <c r="N218" s="260"/>
      <c r="O218" s="260"/>
      <c r="P218" s="273"/>
      <c r="Q218" s="274"/>
    </row>
    <row r="219" spans="1:17" ht="13.95" customHeight="1" x14ac:dyDescent="0.25">
      <c r="A219" s="166"/>
      <c r="B219" s="269"/>
      <c r="C219" s="375" t="s">
        <v>371</v>
      </c>
      <c r="D219" s="1106"/>
      <c r="E219" s="1106"/>
      <c r="F219" s="1106"/>
      <c r="G219" s="1106"/>
      <c r="H219" s="1106"/>
      <c r="I219" s="372"/>
      <c r="J219" s="260"/>
      <c r="K219" s="260"/>
      <c r="L219" s="260"/>
      <c r="M219" s="260"/>
      <c r="N219" s="260"/>
      <c r="O219" s="260"/>
      <c r="P219" s="273"/>
      <c r="Q219" s="274"/>
    </row>
    <row r="220" spans="1:17" ht="13.95" customHeight="1" x14ac:dyDescent="0.25">
      <c r="A220" s="166"/>
      <c r="B220" s="269"/>
      <c r="C220" s="375" t="s">
        <v>372</v>
      </c>
      <c r="D220" s="1106"/>
      <c r="E220" s="1106"/>
      <c r="F220" s="1106"/>
      <c r="G220" s="1106"/>
      <c r="H220" s="1106"/>
      <c r="I220" s="372"/>
      <c r="J220" s="260"/>
      <c r="K220" s="260"/>
      <c r="L220" s="260"/>
      <c r="M220" s="260"/>
      <c r="N220" s="260"/>
      <c r="O220" s="260"/>
      <c r="P220" s="273"/>
      <c r="Q220" s="274"/>
    </row>
    <row r="221" spans="1:17" ht="13.95" customHeight="1" x14ac:dyDescent="0.25">
      <c r="A221" s="166"/>
      <c r="B221" s="269"/>
      <c r="C221" s="375" t="s">
        <v>373</v>
      </c>
      <c r="D221" s="1106"/>
      <c r="E221" s="1106"/>
      <c r="F221" s="1106"/>
      <c r="G221" s="1106"/>
      <c r="H221" s="1106"/>
      <c r="I221" s="372"/>
      <c r="J221" s="260"/>
      <c r="K221" s="260"/>
      <c r="L221" s="260"/>
      <c r="M221" s="260"/>
      <c r="N221" s="260"/>
      <c r="O221" s="260"/>
      <c r="P221" s="273"/>
      <c r="Q221" s="274"/>
    </row>
    <row r="222" spans="1:17" ht="13.95" customHeight="1" x14ac:dyDescent="0.25">
      <c r="A222" s="166"/>
      <c r="B222" s="269"/>
      <c r="C222" s="375" t="s">
        <v>374</v>
      </c>
      <c r="D222" s="1106"/>
      <c r="E222" s="1106"/>
      <c r="F222" s="1106"/>
      <c r="G222" s="1106"/>
      <c r="H222" s="1106"/>
      <c r="I222" s="372"/>
      <c r="J222" s="260"/>
      <c r="K222" s="260"/>
      <c r="L222" s="260"/>
      <c r="M222" s="260"/>
      <c r="N222" s="260"/>
      <c r="O222" s="260"/>
      <c r="P222" s="273"/>
      <c r="Q222" s="274"/>
    </row>
    <row r="223" spans="1:17" ht="13.95" customHeight="1" x14ac:dyDescent="0.25">
      <c r="A223" s="166"/>
      <c r="B223" s="269"/>
      <c r="C223" s="375" t="s">
        <v>375</v>
      </c>
      <c r="D223" s="1106"/>
      <c r="E223" s="1106"/>
      <c r="F223" s="1106"/>
      <c r="G223" s="1106"/>
      <c r="H223" s="1106"/>
      <c r="I223" s="372"/>
      <c r="J223" s="260"/>
      <c r="K223" s="260"/>
      <c r="L223" s="260"/>
      <c r="M223" s="260"/>
      <c r="N223" s="260"/>
      <c r="O223" s="260"/>
      <c r="P223" s="273"/>
      <c r="Q223" s="274"/>
    </row>
    <row r="224" spans="1:17" ht="13.95" customHeight="1" x14ac:dyDescent="0.25">
      <c r="A224" s="166"/>
      <c r="B224" s="269"/>
      <c r="C224" s="375" t="s">
        <v>376</v>
      </c>
      <c r="D224" s="1106"/>
      <c r="E224" s="1106"/>
      <c r="F224" s="1106"/>
      <c r="G224" s="1106"/>
      <c r="H224" s="1106"/>
      <c r="I224" s="372"/>
      <c r="J224" s="260"/>
      <c r="K224" s="260"/>
      <c r="L224" s="260"/>
      <c r="M224" s="260"/>
      <c r="N224" s="260"/>
      <c r="O224" s="260"/>
      <c r="P224" s="273"/>
      <c r="Q224" s="274"/>
    </row>
    <row r="225" spans="1:17" ht="13.95" customHeight="1" x14ac:dyDescent="0.25">
      <c r="A225" s="166"/>
      <c r="B225" s="269"/>
      <c r="C225" s="375" t="s">
        <v>377</v>
      </c>
      <c r="D225" s="1106"/>
      <c r="E225" s="1106"/>
      <c r="F225" s="1106"/>
      <c r="G225" s="1106"/>
      <c r="H225" s="1106"/>
      <c r="I225" s="372"/>
      <c r="J225" s="260"/>
      <c r="K225" s="260"/>
      <c r="L225" s="260"/>
      <c r="M225" s="260"/>
      <c r="N225" s="260"/>
      <c r="O225" s="260"/>
      <c r="P225" s="273"/>
      <c r="Q225" s="274"/>
    </row>
    <row r="226" spans="1:17" ht="13.95" customHeight="1" x14ac:dyDescent="0.25">
      <c r="A226" s="166"/>
      <c r="B226" s="269"/>
      <c r="C226" s="375" t="s">
        <v>378</v>
      </c>
      <c r="D226" s="1106"/>
      <c r="E226" s="1106"/>
      <c r="F226" s="1106"/>
      <c r="G226" s="1106"/>
      <c r="H226" s="1106"/>
      <c r="I226" s="372"/>
      <c r="J226" s="260"/>
      <c r="K226" s="260"/>
      <c r="L226" s="260"/>
      <c r="M226" s="260"/>
      <c r="N226" s="260"/>
      <c r="O226" s="260"/>
      <c r="P226" s="273"/>
      <c r="Q226" s="274"/>
    </row>
    <row r="227" spans="1:17" ht="13.95" customHeight="1" x14ac:dyDescent="0.25">
      <c r="A227" s="166"/>
      <c r="B227" s="269"/>
      <c r="C227" s="375" t="s">
        <v>379</v>
      </c>
      <c r="D227" s="1106"/>
      <c r="E227" s="1106"/>
      <c r="F227" s="1106"/>
      <c r="G227" s="1106"/>
      <c r="H227" s="1106"/>
      <c r="I227" s="372"/>
      <c r="J227" s="260"/>
      <c r="K227" s="260"/>
      <c r="L227" s="260"/>
      <c r="M227" s="260"/>
      <c r="N227" s="260"/>
      <c r="O227" s="260"/>
      <c r="P227" s="273"/>
      <c r="Q227" s="274"/>
    </row>
    <row r="228" spans="1:17" ht="13.95" customHeight="1" x14ac:dyDescent="0.25">
      <c r="A228" s="166"/>
      <c r="B228" s="269"/>
      <c r="C228" s="375" t="s">
        <v>380</v>
      </c>
      <c r="D228" s="1106"/>
      <c r="E228" s="1106"/>
      <c r="F228" s="1106"/>
      <c r="G228" s="1106"/>
      <c r="H228" s="1106"/>
      <c r="I228" s="372"/>
      <c r="J228" s="260"/>
      <c r="K228" s="260"/>
      <c r="L228" s="260"/>
      <c r="M228" s="260"/>
      <c r="N228" s="260"/>
      <c r="O228" s="260"/>
      <c r="P228" s="273"/>
      <c r="Q228" s="274"/>
    </row>
    <row r="229" spans="1:17" ht="13.95" customHeight="1" x14ac:dyDescent="0.25">
      <c r="A229" s="166"/>
      <c r="B229" s="269"/>
      <c r="C229" s="375" t="s">
        <v>381</v>
      </c>
      <c r="D229" s="1106"/>
      <c r="E229" s="1106"/>
      <c r="F229" s="1106"/>
      <c r="G229" s="1106"/>
      <c r="H229" s="1106"/>
      <c r="I229" s="372"/>
      <c r="J229" s="260"/>
      <c r="K229" s="260"/>
      <c r="L229" s="260"/>
      <c r="M229" s="260"/>
      <c r="N229" s="260"/>
      <c r="O229" s="260"/>
      <c r="P229" s="273"/>
      <c r="Q229" s="274"/>
    </row>
    <row r="230" spans="1:17" ht="13.95" customHeight="1" x14ac:dyDescent="0.25">
      <c r="A230" s="166"/>
      <c r="B230" s="269"/>
      <c r="C230" s="375" t="s">
        <v>382</v>
      </c>
      <c r="D230" s="1106"/>
      <c r="E230" s="1106"/>
      <c r="F230" s="1106"/>
      <c r="G230" s="1106"/>
      <c r="H230" s="1106"/>
      <c r="I230" s="372"/>
      <c r="J230" s="260"/>
      <c r="K230" s="260"/>
      <c r="L230" s="260"/>
      <c r="M230" s="260"/>
      <c r="N230" s="260"/>
      <c r="O230" s="260"/>
      <c r="P230" s="273"/>
      <c r="Q230" s="274"/>
    </row>
    <row r="231" spans="1:17" ht="13.95" customHeight="1" x14ac:dyDescent="0.25">
      <c r="A231" s="166"/>
      <c r="B231" s="269"/>
      <c r="C231" s="375" t="s">
        <v>383</v>
      </c>
      <c r="D231" s="1106"/>
      <c r="E231" s="1106"/>
      <c r="F231" s="1106"/>
      <c r="G231" s="1106"/>
      <c r="H231" s="1106"/>
      <c r="I231" s="372"/>
      <c r="J231" s="260"/>
      <c r="K231" s="260"/>
      <c r="L231" s="260"/>
      <c r="M231" s="260"/>
      <c r="N231" s="260"/>
      <c r="O231" s="260"/>
      <c r="P231" s="273"/>
      <c r="Q231" s="274"/>
    </row>
    <row r="232" spans="1:17" ht="13.95" customHeight="1" x14ac:dyDescent="0.25">
      <c r="A232" s="166"/>
      <c r="B232" s="269"/>
      <c r="C232" s="375" t="s">
        <v>384</v>
      </c>
      <c r="D232" s="1106"/>
      <c r="E232" s="1106"/>
      <c r="F232" s="1106"/>
      <c r="G232" s="1106"/>
      <c r="H232" s="1106"/>
      <c r="I232" s="372"/>
      <c r="J232" s="260"/>
      <c r="K232" s="260"/>
      <c r="L232" s="260"/>
      <c r="M232" s="260"/>
      <c r="N232" s="260"/>
      <c r="O232" s="260"/>
      <c r="P232" s="273"/>
      <c r="Q232" s="274"/>
    </row>
    <row r="233" spans="1:17" ht="13.95" customHeight="1" x14ac:dyDescent="0.25">
      <c r="A233" s="166"/>
      <c r="B233" s="269"/>
      <c r="C233" s="375" t="s">
        <v>385</v>
      </c>
      <c r="D233" s="1106"/>
      <c r="E233" s="1106"/>
      <c r="F233" s="1106"/>
      <c r="G233" s="1106"/>
      <c r="H233" s="1106"/>
      <c r="I233" s="372"/>
      <c r="J233" s="260"/>
      <c r="K233" s="260"/>
      <c r="L233" s="260"/>
      <c r="M233" s="260"/>
      <c r="N233" s="260"/>
      <c r="O233" s="260"/>
      <c r="P233" s="273"/>
      <c r="Q233" s="274"/>
    </row>
    <row r="234" spans="1:17" ht="13.95" customHeight="1" x14ac:dyDescent="0.25">
      <c r="A234" s="166"/>
      <c r="B234" s="269"/>
      <c r="C234" s="375" t="s">
        <v>386</v>
      </c>
      <c r="D234" s="1106"/>
      <c r="E234" s="1106"/>
      <c r="F234" s="1106"/>
      <c r="G234" s="1106"/>
      <c r="H234" s="1106"/>
      <c r="I234" s="372"/>
      <c r="J234" s="260"/>
      <c r="K234" s="260"/>
      <c r="L234" s="260"/>
      <c r="M234" s="260"/>
      <c r="N234" s="260"/>
      <c r="O234" s="260"/>
      <c r="P234" s="273"/>
      <c r="Q234" s="274"/>
    </row>
    <row r="235" spans="1:17" ht="13.95" customHeight="1" x14ac:dyDescent="0.25">
      <c r="A235" s="166"/>
      <c r="B235" s="269"/>
      <c r="C235" s="375" t="s">
        <v>387</v>
      </c>
      <c r="D235" s="1106"/>
      <c r="E235" s="1106"/>
      <c r="F235" s="1106"/>
      <c r="G235" s="1106"/>
      <c r="H235" s="1106"/>
      <c r="I235" s="372"/>
      <c r="J235" s="260"/>
      <c r="K235" s="260"/>
      <c r="L235" s="260"/>
      <c r="M235" s="260"/>
      <c r="N235" s="260"/>
      <c r="O235" s="260"/>
      <c r="P235" s="273"/>
      <c r="Q235" s="274"/>
    </row>
    <row r="236" spans="1:17" ht="13.95" customHeight="1" x14ac:dyDescent="0.25">
      <c r="A236" s="166"/>
      <c r="B236" s="269"/>
      <c r="C236" s="375" t="s">
        <v>388</v>
      </c>
      <c r="D236" s="1106"/>
      <c r="E236" s="1106"/>
      <c r="F236" s="1106"/>
      <c r="G236" s="1106"/>
      <c r="H236" s="1106"/>
      <c r="I236" s="372"/>
      <c r="J236" s="260"/>
      <c r="K236" s="260"/>
      <c r="L236" s="260"/>
      <c r="M236" s="260"/>
      <c r="N236" s="260"/>
      <c r="O236" s="260"/>
      <c r="P236" s="273"/>
      <c r="Q236" s="274"/>
    </row>
    <row r="237" spans="1:17" ht="13.95" customHeight="1" x14ac:dyDescent="0.25">
      <c r="A237" s="166"/>
      <c r="B237" s="269"/>
      <c r="C237" s="375" t="s">
        <v>336</v>
      </c>
      <c r="D237" s="1106"/>
      <c r="E237" s="1106"/>
      <c r="F237" s="1106"/>
      <c r="G237" s="1106"/>
      <c r="H237" s="1106"/>
      <c r="I237" s="372"/>
      <c r="J237" s="260"/>
      <c r="K237" s="260"/>
      <c r="L237" s="260"/>
      <c r="M237" s="260"/>
      <c r="N237" s="260"/>
      <c r="O237" s="260"/>
      <c r="P237" s="273"/>
      <c r="Q237" s="274"/>
    </row>
    <row r="238" spans="1:17" ht="13.95" customHeight="1" x14ac:dyDescent="0.25">
      <c r="A238" s="166"/>
      <c r="B238" s="269"/>
      <c r="C238" s="375" t="s">
        <v>337</v>
      </c>
      <c r="D238" s="1106"/>
      <c r="E238" s="1106"/>
      <c r="F238" s="1106"/>
      <c r="G238" s="1106"/>
      <c r="H238" s="1106"/>
      <c r="I238" s="372"/>
      <c r="J238" s="260"/>
      <c r="K238" s="260"/>
      <c r="L238" s="260"/>
      <c r="M238" s="260"/>
      <c r="N238" s="260"/>
      <c r="O238" s="260"/>
      <c r="P238" s="273"/>
      <c r="Q238" s="274"/>
    </row>
    <row r="239" spans="1:17" ht="13.95" customHeight="1" x14ac:dyDescent="0.25">
      <c r="A239" s="166"/>
      <c r="B239" s="269"/>
      <c r="C239" s="375" t="s">
        <v>338</v>
      </c>
      <c r="D239" s="1106"/>
      <c r="E239" s="1106"/>
      <c r="F239" s="1106"/>
      <c r="G239" s="1106"/>
      <c r="H239" s="1106"/>
      <c r="I239" s="372"/>
      <c r="J239" s="260"/>
      <c r="K239" s="260"/>
      <c r="L239" s="260"/>
      <c r="M239" s="260"/>
      <c r="N239" s="260"/>
      <c r="O239" s="260"/>
      <c r="P239" s="273"/>
      <c r="Q239" s="274"/>
    </row>
    <row r="240" spans="1:17" ht="13.95" customHeight="1" x14ac:dyDescent="0.25">
      <c r="A240" s="166"/>
      <c r="B240" s="269"/>
      <c r="C240" s="375" t="s">
        <v>339</v>
      </c>
      <c r="D240" s="1106"/>
      <c r="E240" s="1106"/>
      <c r="F240" s="1106"/>
      <c r="G240" s="1106"/>
      <c r="H240" s="1106"/>
      <c r="I240" s="372"/>
      <c r="J240" s="260"/>
      <c r="K240" s="260"/>
      <c r="L240" s="260"/>
      <c r="M240" s="260"/>
      <c r="N240" s="260"/>
      <c r="O240" s="260"/>
      <c r="P240" s="273"/>
      <c r="Q240" s="274"/>
    </row>
    <row r="241" spans="1:17" ht="13.95" customHeight="1" x14ac:dyDescent="0.25">
      <c r="A241" s="166"/>
      <c r="B241" s="269"/>
      <c r="C241" s="375" t="s">
        <v>340</v>
      </c>
      <c r="D241" s="1106"/>
      <c r="E241" s="1106"/>
      <c r="F241" s="1106"/>
      <c r="G241" s="1106"/>
      <c r="H241" s="1106"/>
      <c r="I241" s="372"/>
      <c r="J241" s="260"/>
      <c r="K241" s="260"/>
      <c r="L241" s="260"/>
      <c r="M241" s="260"/>
      <c r="N241" s="260"/>
      <c r="O241" s="260"/>
      <c r="P241" s="273"/>
      <c r="Q241" s="274"/>
    </row>
    <row r="242" spans="1:17" ht="13.95" customHeight="1" x14ac:dyDescent="0.25">
      <c r="A242" s="166"/>
      <c r="B242" s="269"/>
      <c r="C242" s="375" t="s">
        <v>341</v>
      </c>
      <c r="D242" s="1106"/>
      <c r="E242" s="1106"/>
      <c r="F242" s="1106"/>
      <c r="G242" s="1106"/>
      <c r="H242" s="1106"/>
      <c r="I242" s="372"/>
      <c r="J242" s="260"/>
      <c r="K242" s="260"/>
      <c r="L242" s="260"/>
      <c r="M242" s="260"/>
      <c r="N242" s="260"/>
      <c r="O242" s="260"/>
      <c r="P242" s="273"/>
      <c r="Q242" s="274"/>
    </row>
    <row r="243" spans="1:17" ht="13.95" customHeight="1" x14ac:dyDescent="0.25">
      <c r="A243" s="166"/>
      <c r="B243" s="269"/>
      <c r="C243" s="375" t="s">
        <v>342</v>
      </c>
      <c r="D243" s="1106"/>
      <c r="E243" s="1106"/>
      <c r="F243" s="1106"/>
      <c r="G243" s="1106"/>
      <c r="H243" s="1106"/>
      <c r="I243" s="372"/>
      <c r="J243" s="260"/>
      <c r="K243" s="260"/>
      <c r="L243" s="260"/>
      <c r="M243" s="260"/>
      <c r="N243" s="260"/>
      <c r="O243" s="260"/>
      <c r="P243" s="273"/>
      <c r="Q243" s="274"/>
    </row>
    <row r="244" spans="1:17" ht="13.95" customHeight="1" x14ac:dyDescent="0.25">
      <c r="A244" s="166"/>
      <c r="B244" s="269"/>
      <c r="C244" s="375" t="s">
        <v>343</v>
      </c>
      <c r="D244" s="1106"/>
      <c r="E244" s="1106"/>
      <c r="F244" s="1106"/>
      <c r="G244" s="1106"/>
      <c r="H244" s="1106"/>
      <c r="I244" s="372"/>
      <c r="J244" s="260"/>
      <c r="K244" s="260"/>
      <c r="L244" s="260"/>
      <c r="M244" s="260"/>
      <c r="N244" s="260"/>
      <c r="O244" s="260"/>
      <c r="P244" s="273"/>
      <c r="Q244" s="274"/>
    </row>
    <row r="245" spans="1:17" ht="13.95" customHeight="1" x14ac:dyDescent="0.25">
      <c r="A245" s="166"/>
      <c r="B245" s="269"/>
      <c r="C245" s="375" t="s">
        <v>344</v>
      </c>
      <c r="D245" s="1106"/>
      <c r="E245" s="1106"/>
      <c r="F245" s="1106"/>
      <c r="G245" s="1106"/>
      <c r="H245" s="1106"/>
      <c r="I245" s="372"/>
      <c r="J245" s="260"/>
      <c r="K245" s="260"/>
      <c r="L245" s="260"/>
      <c r="M245" s="260"/>
      <c r="N245" s="260"/>
      <c r="O245" s="260"/>
      <c r="P245" s="273"/>
      <c r="Q245" s="274"/>
    </row>
    <row r="246" spans="1:17" ht="13.95" customHeight="1" x14ac:dyDescent="0.25">
      <c r="A246" s="166"/>
      <c r="B246" s="269"/>
      <c r="C246" s="375" t="s">
        <v>345</v>
      </c>
      <c r="D246" s="1106"/>
      <c r="E246" s="1106"/>
      <c r="F246" s="1106"/>
      <c r="G246" s="1106"/>
      <c r="H246" s="1106"/>
      <c r="I246" s="372"/>
      <c r="J246" s="260"/>
      <c r="K246" s="260"/>
      <c r="L246" s="260"/>
      <c r="M246" s="260"/>
      <c r="N246" s="260"/>
      <c r="O246" s="260"/>
      <c r="P246" s="273"/>
      <c r="Q246" s="274"/>
    </row>
    <row r="247" spans="1:17" ht="13.95" customHeight="1" x14ac:dyDescent="0.25">
      <c r="A247" s="166"/>
      <c r="B247" s="269"/>
      <c r="C247" s="375" t="s">
        <v>346</v>
      </c>
      <c r="D247" s="1106"/>
      <c r="E247" s="1106"/>
      <c r="F247" s="1106"/>
      <c r="G247" s="1106"/>
      <c r="H247" s="1106"/>
      <c r="I247" s="372"/>
      <c r="J247" s="260"/>
      <c r="K247" s="260"/>
      <c r="L247" s="260"/>
      <c r="M247" s="260"/>
      <c r="N247" s="260"/>
      <c r="O247" s="260"/>
      <c r="P247" s="273"/>
      <c r="Q247" s="274"/>
    </row>
    <row r="248" spans="1:17" ht="13.95" customHeight="1" x14ac:dyDescent="0.25">
      <c r="A248" s="166"/>
      <c r="B248" s="269"/>
      <c r="C248" s="375" t="s">
        <v>347</v>
      </c>
      <c r="D248" s="1106"/>
      <c r="E248" s="1106"/>
      <c r="F248" s="1106"/>
      <c r="G248" s="1106"/>
      <c r="H248" s="1106"/>
      <c r="I248" s="372"/>
      <c r="J248" s="260"/>
      <c r="K248" s="260"/>
      <c r="L248" s="260"/>
      <c r="M248" s="260"/>
      <c r="N248" s="260"/>
      <c r="O248" s="260"/>
      <c r="P248" s="273"/>
      <c r="Q248" s="274"/>
    </row>
    <row r="249" spans="1:17" ht="13.95" customHeight="1" x14ac:dyDescent="0.25">
      <c r="A249" s="166"/>
      <c r="B249" s="269"/>
      <c r="C249" s="375" t="s">
        <v>348</v>
      </c>
      <c r="D249" s="1106"/>
      <c r="E249" s="1106"/>
      <c r="F249" s="1106"/>
      <c r="G249" s="1106"/>
      <c r="H249" s="1106"/>
      <c r="I249" s="372"/>
      <c r="J249" s="260"/>
      <c r="K249" s="260"/>
      <c r="L249" s="260"/>
      <c r="M249" s="260"/>
      <c r="N249" s="260"/>
      <c r="O249" s="260"/>
      <c r="P249" s="273"/>
      <c r="Q249" s="274"/>
    </row>
    <row r="250" spans="1:17" ht="13.95" customHeight="1" x14ac:dyDescent="0.25">
      <c r="A250" s="166"/>
      <c r="B250" s="269"/>
      <c r="C250" s="375" t="s">
        <v>349</v>
      </c>
      <c r="D250" s="1106"/>
      <c r="E250" s="1106"/>
      <c r="F250" s="1106"/>
      <c r="G250" s="1106"/>
      <c r="H250" s="1106"/>
      <c r="I250" s="372"/>
      <c r="J250" s="260"/>
      <c r="K250" s="260"/>
      <c r="L250" s="260"/>
      <c r="M250" s="260"/>
      <c r="N250" s="260"/>
      <c r="O250" s="260"/>
      <c r="P250" s="273"/>
      <c r="Q250" s="274"/>
    </row>
    <row r="251" spans="1:17" ht="13.95" customHeight="1" x14ac:dyDescent="0.25">
      <c r="A251" s="166"/>
      <c r="B251" s="269"/>
      <c r="C251" s="375" t="s">
        <v>350</v>
      </c>
      <c r="D251" s="1106"/>
      <c r="E251" s="1106"/>
      <c r="F251" s="1106"/>
      <c r="G251" s="1106"/>
      <c r="H251" s="1106"/>
      <c r="I251" s="372"/>
      <c r="J251" s="260"/>
      <c r="K251" s="260"/>
      <c r="L251" s="260"/>
      <c r="M251" s="260"/>
      <c r="N251" s="260"/>
      <c r="O251" s="260"/>
      <c r="P251" s="273"/>
      <c r="Q251" s="274"/>
    </row>
    <row r="252" spans="1:17" ht="13.95" customHeight="1" x14ac:dyDescent="0.25">
      <c r="A252" s="166"/>
      <c r="B252" s="269"/>
      <c r="C252" s="375" t="s">
        <v>351</v>
      </c>
      <c r="D252" s="1106"/>
      <c r="E252" s="1106"/>
      <c r="F252" s="1106"/>
      <c r="G252" s="1106"/>
      <c r="H252" s="1106"/>
      <c r="I252" s="372"/>
      <c r="J252" s="260"/>
      <c r="K252" s="260"/>
      <c r="L252" s="260"/>
      <c r="M252" s="260"/>
      <c r="N252" s="260"/>
      <c r="O252" s="260"/>
      <c r="P252" s="273"/>
      <c r="Q252" s="274"/>
    </row>
    <row r="253" spans="1:17" ht="13.95" customHeight="1" x14ac:dyDescent="0.25">
      <c r="A253" s="166"/>
      <c r="B253" s="269"/>
      <c r="C253" s="375" t="s">
        <v>352</v>
      </c>
      <c r="D253" s="1106"/>
      <c r="E253" s="1106"/>
      <c r="F253" s="1106"/>
      <c r="G253" s="1106"/>
      <c r="H253" s="1106"/>
      <c r="I253" s="372"/>
      <c r="J253" s="260"/>
      <c r="K253" s="260"/>
      <c r="L253" s="260"/>
      <c r="M253" s="260"/>
      <c r="N253" s="260"/>
      <c r="O253" s="260"/>
      <c r="P253" s="273"/>
      <c r="Q253" s="274"/>
    </row>
    <row r="254" spans="1:17" ht="13.95" customHeight="1" x14ac:dyDescent="0.25">
      <c r="A254" s="166"/>
      <c r="B254" s="269"/>
      <c r="C254" s="375" t="s">
        <v>353</v>
      </c>
      <c r="D254" s="1106"/>
      <c r="E254" s="1106"/>
      <c r="F254" s="1106"/>
      <c r="G254" s="1106"/>
      <c r="H254" s="1106"/>
      <c r="I254" s="372"/>
      <c r="J254" s="260"/>
      <c r="K254" s="260"/>
      <c r="L254" s="260"/>
      <c r="M254" s="260"/>
      <c r="N254" s="260"/>
      <c r="O254" s="260"/>
      <c r="P254" s="273"/>
      <c r="Q254" s="274"/>
    </row>
    <row r="255" spans="1:17" ht="13.95" customHeight="1" x14ac:dyDescent="0.25">
      <c r="A255" s="166"/>
      <c r="B255" s="269"/>
      <c r="C255" s="375" t="s">
        <v>355</v>
      </c>
      <c r="D255" s="1106"/>
      <c r="E255" s="1106"/>
      <c r="F255" s="1106"/>
      <c r="G255" s="1106"/>
      <c r="H255" s="1106"/>
      <c r="I255" s="372"/>
      <c r="J255" s="260"/>
      <c r="K255" s="260"/>
      <c r="L255" s="260"/>
      <c r="M255" s="260"/>
      <c r="N255" s="260"/>
      <c r="O255" s="260"/>
      <c r="P255" s="273"/>
      <c r="Q255" s="274"/>
    </row>
    <row r="256" spans="1:17" ht="13.95" customHeight="1" x14ac:dyDescent="0.25">
      <c r="A256" s="166"/>
      <c r="B256" s="269"/>
      <c r="C256" s="375" t="s">
        <v>356</v>
      </c>
      <c r="D256" s="1106"/>
      <c r="E256" s="1106"/>
      <c r="F256" s="1106"/>
      <c r="G256" s="1106"/>
      <c r="H256" s="1106"/>
      <c r="I256" s="372"/>
      <c r="J256" s="260"/>
      <c r="K256" s="260"/>
      <c r="L256" s="260"/>
      <c r="M256" s="260"/>
      <c r="N256" s="260"/>
      <c r="O256" s="260"/>
      <c r="P256" s="273"/>
      <c r="Q256" s="274"/>
    </row>
    <row r="257" spans="1:17" ht="13.95" customHeight="1" x14ac:dyDescent="0.25">
      <c r="A257" s="166"/>
      <c r="B257" s="269"/>
      <c r="C257" s="375" t="s">
        <v>357</v>
      </c>
      <c r="D257" s="1106"/>
      <c r="E257" s="1106"/>
      <c r="F257" s="1106"/>
      <c r="G257" s="1106"/>
      <c r="H257" s="1106"/>
      <c r="I257" s="372"/>
      <c r="J257" s="260"/>
      <c r="K257" s="260"/>
      <c r="L257" s="260"/>
      <c r="M257" s="260"/>
      <c r="N257" s="260"/>
      <c r="O257" s="260"/>
      <c r="P257" s="273"/>
      <c r="Q257" s="274"/>
    </row>
    <row r="258" spans="1:17" ht="13.95" customHeight="1" x14ac:dyDescent="0.25">
      <c r="A258" s="166"/>
      <c r="B258" s="269"/>
      <c r="C258" s="375" t="s">
        <v>358</v>
      </c>
      <c r="D258" s="1106"/>
      <c r="E258" s="1106"/>
      <c r="F258" s="1106"/>
      <c r="G258" s="1106"/>
      <c r="H258" s="1106"/>
      <c r="I258" s="372"/>
      <c r="J258" s="260"/>
      <c r="K258" s="260"/>
      <c r="L258" s="260"/>
      <c r="M258" s="260"/>
      <c r="N258" s="260"/>
      <c r="O258" s="260"/>
      <c r="P258" s="273"/>
      <c r="Q258" s="274"/>
    </row>
    <row r="259" spans="1:17" ht="13.95" customHeight="1" x14ac:dyDescent="0.25">
      <c r="A259" s="166"/>
      <c r="B259" s="269"/>
      <c r="C259" s="375" t="s">
        <v>359</v>
      </c>
      <c r="D259" s="1106"/>
      <c r="E259" s="1106"/>
      <c r="F259" s="1106"/>
      <c r="G259" s="1106"/>
      <c r="H259" s="1106"/>
      <c r="I259" s="372"/>
      <c r="J259" s="260"/>
      <c r="K259" s="260"/>
      <c r="L259" s="260"/>
      <c r="M259" s="260"/>
      <c r="N259" s="260"/>
      <c r="O259" s="260"/>
      <c r="P259" s="273"/>
      <c r="Q259" s="274"/>
    </row>
    <row r="260" spans="1:17" ht="13.95" customHeight="1" x14ac:dyDescent="0.25">
      <c r="A260" s="166"/>
      <c r="B260" s="269"/>
      <c r="C260" s="375" t="s">
        <v>360</v>
      </c>
      <c r="D260" s="1106"/>
      <c r="E260" s="1106"/>
      <c r="F260" s="1106"/>
      <c r="G260" s="1106"/>
      <c r="H260" s="1106"/>
      <c r="I260" s="372"/>
      <c r="J260" s="260"/>
      <c r="K260" s="260"/>
      <c r="L260" s="260"/>
      <c r="M260" s="260"/>
      <c r="N260" s="260"/>
      <c r="O260" s="260"/>
      <c r="P260" s="273"/>
      <c r="Q260" s="274"/>
    </row>
    <row r="261" spans="1:17" ht="13.95" customHeight="1" x14ac:dyDescent="0.25">
      <c r="A261" s="166"/>
      <c r="B261" s="269"/>
      <c r="C261" s="375" t="s">
        <v>240</v>
      </c>
      <c r="D261" s="1106"/>
      <c r="E261" s="1106"/>
      <c r="F261" s="1106"/>
      <c r="G261" s="1106"/>
      <c r="H261" s="1106"/>
      <c r="I261" s="372"/>
      <c r="J261" s="260"/>
      <c r="K261" s="260"/>
      <c r="L261" s="260"/>
      <c r="M261" s="260"/>
      <c r="N261" s="260"/>
      <c r="O261" s="260"/>
      <c r="P261" s="273"/>
      <c r="Q261" s="274"/>
    </row>
    <row r="262" spans="1:17" ht="13.95" customHeight="1" x14ac:dyDescent="0.25">
      <c r="A262" s="166"/>
      <c r="B262" s="269"/>
      <c r="C262" s="375" t="s">
        <v>241</v>
      </c>
      <c r="D262" s="1106"/>
      <c r="E262" s="1106"/>
      <c r="F262" s="1106"/>
      <c r="G262" s="1106"/>
      <c r="H262" s="1106"/>
      <c r="I262" s="372"/>
      <c r="J262" s="260"/>
      <c r="K262" s="260"/>
      <c r="L262" s="260"/>
      <c r="M262" s="260"/>
      <c r="N262" s="260"/>
      <c r="O262" s="260"/>
      <c r="P262" s="273"/>
      <c r="Q262" s="274"/>
    </row>
    <row r="263" spans="1:17" ht="13.95" customHeight="1" x14ac:dyDescent="0.25">
      <c r="A263" s="166"/>
      <c r="B263" s="269"/>
      <c r="C263" s="375" t="s">
        <v>242</v>
      </c>
      <c r="D263" s="1106"/>
      <c r="E263" s="1106"/>
      <c r="F263" s="1106"/>
      <c r="G263" s="1106"/>
      <c r="H263" s="1106"/>
      <c r="I263" s="372"/>
      <c r="J263" s="260"/>
      <c r="K263" s="260"/>
      <c r="L263" s="260"/>
      <c r="M263" s="260"/>
      <c r="N263" s="260"/>
      <c r="O263" s="260"/>
      <c r="P263" s="273"/>
      <c r="Q263" s="274"/>
    </row>
    <row r="264" spans="1:17" ht="13.95" customHeight="1" x14ac:dyDescent="0.25">
      <c r="A264" s="166"/>
      <c r="B264" s="269"/>
      <c r="C264" s="375" t="s">
        <v>243</v>
      </c>
      <c r="D264" s="1106"/>
      <c r="E264" s="1106"/>
      <c r="F264" s="1106"/>
      <c r="G264" s="1106"/>
      <c r="H264" s="1106"/>
      <c r="I264" s="372"/>
      <c r="J264" s="260"/>
      <c r="K264" s="260"/>
      <c r="L264" s="260"/>
      <c r="M264" s="260"/>
      <c r="N264" s="260"/>
      <c r="O264" s="260"/>
      <c r="P264" s="273"/>
      <c r="Q264" s="274"/>
    </row>
    <row r="265" spans="1:17" ht="13.95" customHeight="1" x14ac:dyDescent="0.25">
      <c r="A265" s="166"/>
      <c r="B265" s="269"/>
      <c r="C265" s="375" t="s">
        <v>244</v>
      </c>
      <c r="D265" s="1106"/>
      <c r="E265" s="1106"/>
      <c r="F265" s="1106"/>
      <c r="G265" s="1106"/>
      <c r="H265" s="1106"/>
      <c r="I265" s="372"/>
      <c r="J265" s="260"/>
      <c r="K265" s="260"/>
      <c r="L265" s="260"/>
      <c r="M265" s="260"/>
      <c r="N265" s="260"/>
      <c r="O265" s="260"/>
      <c r="P265" s="273"/>
      <c r="Q265" s="274"/>
    </row>
    <row r="266" spans="1:17" ht="13.95" customHeight="1" x14ac:dyDescent="0.25">
      <c r="A266" s="166"/>
      <c r="B266" s="269"/>
      <c r="C266" s="375" t="s">
        <v>245</v>
      </c>
      <c r="D266" s="1106"/>
      <c r="E266" s="1106"/>
      <c r="F266" s="1106"/>
      <c r="G266" s="1106"/>
      <c r="H266" s="1106"/>
      <c r="I266" s="372"/>
      <c r="J266" s="260"/>
      <c r="K266" s="260"/>
      <c r="L266" s="260"/>
      <c r="M266" s="260"/>
      <c r="N266" s="260"/>
      <c r="O266" s="260"/>
      <c r="P266" s="273"/>
      <c r="Q266" s="274"/>
    </row>
    <row r="267" spans="1:17" ht="13.95" customHeight="1" x14ac:dyDescent="0.25">
      <c r="A267" s="166"/>
      <c r="B267" s="269"/>
      <c r="C267" s="375" t="s">
        <v>246</v>
      </c>
      <c r="D267" s="1106"/>
      <c r="E267" s="1106"/>
      <c r="F267" s="1106"/>
      <c r="G267" s="1106"/>
      <c r="H267" s="1106"/>
      <c r="I267" s="372"/>
      <c r="J267" s="260"/>
      <c r="K267" s="260"/>
      <c r="L267" s="260"/>
      <c r="M267" s="260"/>
      <c r="N267" s="260"/>
      <c r="O267" s="260"/>
      <c r="P267" s="273"/>
      <c r="Q267" s="274"/>
    </row>
    <row r="268" spans="1:17" ht="13.95" customHeight="1" x14ac:dyDescent="0.25">
      <c r="A268" s="166"/>
      <c r="B268" s="269"/>
      <c r="C268" s="375" t="s">
        <v>247</v>
      </c>
      <c r="D268" s="1106"/>
      <c r="E268" s="1106"/>
      <c r="F268" s="1106"/>
      <c r="G268" s="1106"/>
      <c r="H268" s="1106"/>
      <c r="I268" s="372"/>
      <c r="J268" s="260"/>
      <c r="K268" s="260"/>
      <c r="L268" s="260"/>
      <c r="M268" s="260"/>
      <c r="N268" s="260"/>
      <c r="O268" s="260"/>
      <c r="P268" s="273"/>
      <c r="Q268" s="274"/>
    </row>
    <row r="269" spans="1:17" ht="13.95" customHeight="1" x14ac:dyDescent="0.25">
      <c r="A269" s="166"/>
      <c r="B269" s="269"/>
      <c r="C269" s="375" t="s">
        <v>248</v>
      </c>
      <c r="D269" s="1106"/>
      <c r="E269" s="1106"/>
      <c r="F269" s="1106"/>
      <c r="G269" s="1106"/>
      <c r="H269" s="1106"/>
      <c r="I269" s="372"/>
      <c r="J269" s="260"/>
      <c r="K269" s="260"/>
      <c r="L269" s="260"/>
      <c r="M269" s="260"/>
      <c r="N269" s="260"/>
      <c r="O269" s="260"/>
      <c r="P269" s="273"/>
      <c r="Q269" s="274"/>
    </row>
    <row r="270" spans="1:17" ht="13.95" customHeight="1" x14ac:dyDescent="0.25">
      <c r="A270" s="166"/>
      <c r="B270" s="269"/>
      <c r="C270" s="375" t="s">
        <v>249</v>
      </c>
      <c r="D270" s="1106"/>
      <c r="E270" s="1106"/>
      <c r="F270" s="1106"/>
      <c r="G270" s="1106"/>
      <c r="H270" s="1106"/>
      <c r="I270" s="372"/>
      <c r="J270" s="260"/>
      <c r="K270" s="260"/>
      <c r="L270" s="260"/>
      <c r="M270" s="260"/>
      <c r="N270" s="260"/>
      <c r="O270" s="260"/>
      <c r="P270" s="273"/>
      <c r="Q270" s="274"/>
    </row>
    <row r="271" spans="1:17" ht="13.95" customHeight="1" x14ac:dyDescent="0.25">
      <c r="A271" s="166"/>
      <c r="B271" s="269"/>
      <c r="C271" s="375" t="s">
        <v>250</v>
      </c>
      <c r="D271" s="1106"/>
      <c r="E271" s="1106"/>
      <c r="F271" s="1106"/>
      <c r="G271" s="1106"/>
      <c r="H271" s="1106"/>
      <c r="I271" s="372"/>
      <c r="J271" s="260"/>
      <c r="K271" s="260"/>
      <c r="L271" s="260"/>
      <c r="M271" s="260"/>
      <c r="N271" s="260"/>
      <c r="O271" s="260"/>
      <c r="P271" s="273"/>
      <c r="Q271" s="274"/>
    </row>
    <row r="272" spans="1:17" ht="13.95" customHeight="1" x14ac:dyDescent="0.25">
      <c r="A272" s="166"/>
      <c r="B272" s="269"/>
      <c r="C272" s="375" t="s">
        <v>251</v>
      </c>
      <c r="D272" s="1106"/>
      <c r="E272" s="1106"/>
      <c r="F272" s="1106"/>
      <c r="G272" s="1106"/>
      <c r="H272" s="1106"/>
      <c r="I272" s="372"/>
      <c r="J272" s="260"/>
      <c r="K272" s="260"/>
      <c r="L272" s="260"/>
      <c r="M272" s="260"/>
      <c r="N272" s="260"/>
      <c r="O272" s="260"/>
      <c r="P272" s="273"/>
      <c r="Q272" s="274"/>
    </row>
    <row r="273" spans="1:17" ht="13.95" customHeight="1" x14ac:dyDescent="0.25">
      <c r="A273" s="166"/>
      <c r="B273" s="269"/>
      <c r="C273" s="375" t="s">
        <v>252</v>
      </c>
      <c r="D273" s="1106"/>
      <c r="E273" s="1106"/>
      <c r="F273" s="1106"/>
      <c r="G273" s="1106"/>
      <c r="H273" s="1106"/>
      <c r="I273" s="372"/>
      <c r="J273" s="260"/>
      <c r="K273" s="260"/>
      <c r="L273" s="260"/>
      <c r="M273" s="260"/>
      <c r="N273" s="260"/>
      <c r="O273" s="260"/>
      <c r="P273" s="273"/>
      <c r="Q273" s="274"/>
    </row>
    <row r="274" spans="1:17" ht="13.95" customHeight="1" x14ac:dyDescent="0.25">
      <c r="A274" s="166"/>
      <c r="B274" s="269"/>
      <c r="C274" s="375" t="s">
        <v>253</v>
      </c>
      <c r="D274" s="1106"/>
      <c r="E274" s="1106"/>
      <c r="F274" s="1106"/>
      <c r="G274" s="1106"/>
      <c r="H274" s="1106"/>
      <c r="I274" s="372"/>
      <c r="J274" s="260"/>
      <c r="K274" s="260"/>
      <c r="L274" s="260"/>
      <c r="M274" s="260"/>
      <c r="N274" s="260"/>
      <c r="O274" s="260"/>
      <c r="P274" s="273"/>
      <c r="Q274" s="274"/>
    </row>
    <row r="275" spans="1:17" ht="13.95" customHeight="1" x14ac:dyDescent="0.25">
      <c r="A275" s="166"/>
      <c r="B275" s="269"/>
      <c r="C275" s="375" t="s">
        <v>254</v>
      </c>
      <c r="D275" s="1106"/>
      <c r="E275" s="1106"/>
      <c r="F275" s="1106"/>
      <c r="G275" s="1106"/>
      <c r="H275" s="1106"/>
      <c r="I275" s="372"/>
      <c r="J275" s="260"/>
      <c r="K275" s="260"/>
      <c r="L275" s="260"/>
      <c r="M275" s="260"/>
      <c r="N275" s="260"/>
      <c r="O275" s="260"/>
      <c r="P275" s="273"/>
      <c r="Q275" s="274"/>
    </row>
    <row r="276" spans="1:17" ht="13.95" customHeight="1" x14ac:dyDescent="0.25">
      <c r="A276" s="166"/>
      <c r="B276" s="269"/>
      <c r="C276" s="375" t="s">
        <v>255</v>
      </c>
      <c r="D276" s="1106"/>
      <c r="E276" s="1106"/>
      <c r="F276" s="1106"/>
      <c r="G276" s="1106"/>
      <c r="H276" s="1106"/>
      <c r="I276" s="372"/>
      <c r="J276" s="260"/>
      <c r="K276" s="260"/>
      <c r="L276" s="260"/>
      <c r="M276" s="260"/>
      <c r="N276" s="260"/>
      <c r="O276" s="260"/>
      <c r="P276" s="273"/>
      <c r="Q276" s="274"/>
    </row>
    <row r="277" spans="1:17" ht="13.95" customHeight="1" x14ac:dyDescent="0.25">
      <c r="A277" s="166"/>
      <c r="B277" s="269"/>
      <c r="C277" s="375" t="s">
        <v>256</v>
      </c>
      <c r="D277" s="1106"/>
      <c r="E277" s="1106"/>
      <c r="F277" s="1106"/>
      <c r="G277" s="1106"/>
      <c r="H277" s="1106"/>
      <c r="I277" s="372"/>
      <c r="J277" s="260"/>
      <c r="K277" s="260"/>
      <c r="L277" s="260"/>
      <c r="M277" s="260"/>
      <c r="N277" s="260"/>
      <c r="O277" s="260"/>
      <c r="P277" s="273"/>
      <c r="Q277" s="274"/>
    </row>
    <row r="278" spans="1:17" ht="13.95" customHeight="1" x14ac:dyDescent="0.25">
      <c r="A278" s="166"/>
      <c r="B278" s="269"/>
      <c r="C278" s="375" t="s">
        <v>257</v>
      </c>
      <c r="D278" s="1106"/>
      <c r="E278" s="1106"/>
      <c r="F278" s="1106"/>
      <c r="G278" s="1106"/>
      <c r="H278" s="1106"/>
      <c r="I278" s="372"/>
      <c r="J278" s="260"/>
      <c r="K278" s="260"/>
      <c r="L278" s="260"/>
      <c r="M278" s="260"/>
      <c r="N278" s="260"/>
      <c r="O278" s="260"/>
      <c r="P278" s="273"/>
      <c r="Q278" s="274"/>
    </row>
    <row r="279" spans="1:17" ht="13.95" customHeight="1" x14ac:dyDescent="0.25">
      <c r="A279" s="166"/>
      <c r="B279" s="269"/>
      <c r="C279" s="375" t="s">
        <v>258</v>
      </c>
      <c r="D279" s="1106"/>
      <c r="E279" s="1106"/>
      <c r="F279" s="1106"/>
      <c r="G279" s="1106"/>
      <c r="H279" s="1106"/>
      <c r="I279" s="372"/>
      <c r="J279" s="260"/>
      <c r="K279" s="260"/>
      <c r="L279" s="260"/>
      <c r="M279" s="260"/>
      <c r="N279" s="260"/>
      <c r="O279" s="260"/>
      <c r="P279" s="273"/>
      <c r="Q279" s="274"/>
    </row>
    <row r="280" spans="1:17" ht="13.95" customHeight="1" x14ac:dyDescent="0.25">
      <c r="A280" s="166"/>
      <c r="B280" s="269"/>
      <c r="C280" s="375" t="s">
        <v>259</v>
      </c>
      <c r="D280" s="1106"/>
      <c r="E280" s="1106"/>
      <c r="F280" s="1106"/>
      <c r="G280" s="1106"/>
      <c r="H280" s="1106"/>
      <c r="I280" s="372"/>
      <c r="J280" s="260"/>
      <c r="K280" s="260"/>
      <c r="L280" s="260"/>
      <c r="M280" s="260"/>
      <c r="N280" s="260"/>
      <c r="O280" s="260"/>
      <c r="P280" s="273"/>
      <c r="Q280" s="274"/>
    </row>
    <row r="281" spans="1:17" ht="13.95" customHeight="1" x14ac:dyDescent="0.25">
      <c r="A281" s="166"/>
      <c r="B281" s="269"/>
      <c r="C281" s="375" t="s">
        <v>260</v>
      </c>
      <c r="D281" s="1106"/>
      <c r="E281" s="1106"/>
      <c r="F281" s="1106"/>
      <c r="G281" s="1106"/>
      <c r="H281" s="1106"/>
      <c r="I281" s="372"/>
      <c r="J281" s="260"/>
      <c r="K281" s="260"/>
      <c r="L281" s="260"/>
      <c r="M281" s="260"/>
      <c r="N281" s="260"/>
      <c r="O281" s="260"/>
      <c r="P281" s="273"/>
      <c r="Q281" s="274"/>
    </row>
    <row r="282" spans="1:17" ht="13.95" customHeight="1" x14ac:dyDescent="0.25">
      <c r="A282" s="166"/>
      <c r="B282" s="269"/>
      <c r="C282" s="375" t="s">
        <v>261</v>
      </c>
      <c r="D282" s="1106"/>
      <c r="E282" s="1106"/>
      <c r="F282" s="1106"/>
      <c r="G282" s="1106"/>
      <c r="H282" s="1106"/>
      <c r="I282" s="372"/>
      <c r="J282" s="260"/>
      <c r="K282" s="260"/>
      <c r="L282" s="260"/>
      <c r="M282" s="260"/>
      <c r="N282" s="260"/>
      <c r="O282" s="260"/>
      <c r="P282" s="273"/>
      <c r="Q282" s="274"/>
    </row>
    <row r="283" spans="1:17" ht="13.95" customHeight="1" x14ac:dyDescent="0.25">
      <c r="A283" s="166"/>
      <c r="B283" s="269"/>
      <c r="C283" s="375" t="s">
        <v>262</v>
      </c>
      <c r="D283" s="1106"/>
      <c r="E283" s="1106"/>
      <c r="F283" s="1106"/>
      <c r="G283" s="1106"/>
      <c r="H283" s="1106"/>
      <c r="I283" s="372"/>
      <c r="J283" s="260"/>
      <c r="K283" s="260"/>
      <c r="L283" s="260"/>
      <c r="M283" s="260"/>
      <c r="N283" s="260"/>
      <c r="O283" s="260"/>
      <c r="P283" s="273"/>
      <c r="Q283" s="274"/>
    </row>
    <row r="284" spans="1:17" ht="13.95" customHeight="1" x14ac:dyDescent="0.25">
      <c r="A284" s="166"/>
      <c r="B284" s="269"/>
      <c r="C284" s="375" t="s">
        <v>263</v>
      </c>
      <c r="D284" s="1106"/>
      <c r="E284" s="1106"/>
      <c r="F284" s="1106"/>
      <c r="G284" s="1106"/>
      <c r="H284" s="1106"/>
      <c r="I284" s="372"/>
      <c r="J284" s="260"/>
      <c r="K284" s="260"/>
      <c r="L284" s="260"/>
      <c r="M284" s="260"/>
      <c r="N284" s="260"/>
      <c r="O284" s="260"/>
      <c r="P284" s="273"/>
      <c r="Q284" s="274"/>
    </row>
    <row r="285" spans="1:17" ht="13.95" customHeight="1" x14ac:dyDescent="0.25">
      <c r="A285" s="166"/>
      <c r="B285" s="269"/>
      <c r="C285" s="375" t="s">
        <v>265</v>
      </c>
      <c r="D285" s="1106"/>
      <c r="E285" s="1106"/>
      <c r="F285" s="1106"/>
      <c r="G285" s="1106"/>
      <c r="H285" s="1106"/>
      <c r="I285" s="372"/>
      <c r="J285" s="260"/>
      <c r="K285" s="260"/>
      <c r="L285" s="260"/>
      <c r="M285" s="260"/>
      <c r="N285" s="260"/>
      <c r="O285" s="260"/>
      <c r="P285" s="273"/>
      <c r="Q285" s="274"/>
    </row>
    <row r="286" spans="1:17" ht="13.95" customHeight="1" x14ac:dyDescent="0.25">
      <c r="A286" s="166"/>
      <c r="B286" s="269"/>
      <c r="C286" s="375" t="s">
        <v>974</v>
      </c>
      <c r="D286" s="1106"/>
      <c r="E286" s="1106"/>
      <c r="F286" s="1106"/>
      <c r="G286" s="1106"/>
      <c r="H286" s="1106"/>
      <c r="I286" s="372"/>
      <c r="J286" s="260"/>
      <c r="K286" s="260"/>
      <c r="L286" s="260"/>
      <c r="M286" s="260"/>
      <c r="N286" s="260"/>
      <c r="O286" s="260"/>
      <c r="P286" s="273"/>
      <c r="Q286" s="274"/>
    </row>
    <row r="287" spans="1:17" ht="13.95" customHeight="1" x14ac:dyDescent="0.25">
      <c r="A287" s="166"/>
      <c r="B287" s="269"/>
      <c r="C287" s="375" t="s">
        <v>2617</v>
      </c>
      <c r="D287" s="1106"/>
      <c r="E287" s="1106"/>
      <c r="F287" s="1106"/>
      <c r="G287" s="1106"/>
      <c r="H287" s="1106"/>
      <c r="I287" s="372"/>
      <c r="J287" s="260"/>
      <c r="K287" s="260"/>
      <c r="L287" s="260"/>
      <c r="M287" s="260"/>
      <c r="N287" s="260"/>
      <c r="O287" s="260"/>
      <c r="P287" s="273"/>
      <c r="Q287" s="274"/>
    </row>
    <row r="288" spans="1:17" ht="13.95" customHeight="1" x14ac:dyDescent="0.25">
      <c r="A288" s="166"/>
      <c r="B288" s="269"/>
      <c r="C288" s="375" t="s">
        <v>267</v>
      </c>
      <c r="D288" s="1106"/>
      <c r="E288" s="1106"/>
      <c r="F288" s="1106"/>
      <c r="G288" s="1106"/>
      <c r="H288" s="1106"/>
      <c r="I288" s="372"/>
      <c r="J288" s="260"/>
      <c r="K288" s="260"/>
      <c r="L288" s="260"/>
      <c r="M288" s="260"/>
      <c r="N288" s="260"/>
      <c r="O288" s="260"/>
      <c r="P288" s="273"/>
      <c r="Q288" s="274"/>
    </row>
    <row r="289" spans="1:17" ht="13.95" customHeight="1" x14ac:dyDescent="0.25">
      <c r="A289" s="166"/>
      <c r="B289" s="269"/>
      <c r="C289" s="375" t="s">
        <v>268</v>
      </c>
      <c r="D289" s="1106"/>
      <c r="E289" s="1106"/>
      <c r="F289" s="1106"/>
      <c r="G289" s="1106"/>
      <c r="H289" s="1106"/>
      <c r="I289" s="372"/>
      <c r="J289" s="260"/>
      <c r="K289" s="260"/>
      <c r="L289" s="260"/>
      <c r="M289" s="260"/>
      <c r="N289" s="260"/>
      <c r="O289" s="260"/>
      <c r="P289" s="273"/>
      <c r="Q289" s="274"/>
    </row>
    <row r="290" spans="1:17" ht="13.95" customHeight="1" x14ac:dyDescent="0.25">
      <c r="A290" s="166"/>
      <c r="B290" s="269"/>
      <c r="C290" s="375" t="s">
        <v>269</v>
      </c>
      <c r="D290" s="1106"/>
      <c r="E290" s="1106"/>
      <c r="F290" s="1106"/>
      <c r="G290" s="1106"/>
      <c r="H290" s="1106"/>
      <c r="I290" s="372"/>
      <c r="J290" s="260"/>
      <c r="K290" s="260"/>
      <c r="L290" s="260"/>
      <c r="M290" s="260"/>
      <c r="N290" s="260"/>
      <c r="O290" s="260"/>
      <c r="P290" s="273"/>
      <c r="Q290" s="274"/>
    </row>
    <row r="291" spans="1:17" ht="13.95" customHeight="1" x14ac:dyDescent="0.25">
      <c r="A291" s="166"/>
      <c r="B291" s="269"/>
      <c r="C291" s="375" t="s">
        <v>270</v>
      </c>
      <c r="D291" s="1106"/>
      <c r="E291" s="1106"/>
      <c r="F291" s="1106"/>
      <c r="G291" s="1106"/>
      <c r="H291" s="1106"/>
      <c r="I291" s="372"/>
      <c r="J291" s="260"/>
      <c r="K291" s="260"/>
      <c r="L291" s="260"/>
      <c r="M291" s="260"/>
      <c r="N291" s="260"/>
      <c r="O291" s="260"/>
      <c r="P291" s="273"/>
      <c r="Q291" s="274"/>
    </row>
    <row r="292" spans="1:17" ht="13.95" customHeight="1" x14ac:dyDescent="0.25">
      <c r="A292" s="166"/>
      <c r="B292" s="269"/>
      <c r="C292" s="375" t="s">
        <v>271</v>
      </c>
      <c r="D292" s="1106"/>
      <c r="E292" s="1106"/>
      <c r="F292" s="1106"/>
      <c r="G292" s="1106"/>
      <c r="H292" s="1106"/>
      <c r="I292" s="372"/>
      <c r="J292" s="260"/>
      <c r="K292" s="260"/>
      <c r="L292" s="260"/>
      <c r="M292" s="260"/>
      <c r="N292" s="260"/>
      <c r="O292" s="260"/>
      <c r="P292" s="273"/>
      <c r="Q292" s="274"/>
    </row>
    <row r="293" spans="1:17" ht="13.95" customHeight="1" x14ac:dyDescent="0.25">
      <c r="A293" s="166"/>
      <c r="B293" s="269"/>
      <c r="C293" s="375" t="s">
        <v>272</v>
      </c>
      <c r="D293" s="1106"/>
      <c r="E293" s="1106"/>
      <c r="F293" s="1106"/>
      <c r="G293" s="1106"/>
      <c r="H293" s="1106"/>
      <c r="I293" s="372"/>
      <c r="J293" s="260"/>
      <c r="K293" s="260"/>
      <c r="L293" s="260"/>
      <c r="M293" s="260"/>
      <c r="N293" s="260"/>
      <c r="O293" s="260"/>
      <c r="P293" s="273"/>
      <c r="Q293" s="274"/>
    </row>
    <row r="294" spans="1:17" ht="13.95" customHeight="1" x14ac:dyDescent="0.25">
      <c r="A294" s="166"/>
      <c r="B294" s="269"/>
      <c r="C294" s="375" t="s">
        <v>273</v>
      </c>
      <c r="D294" s="1106"/>
      <c r="E294" s="1106"/>
      <c r="F294" s="1106"/>
      <c r="G294" s="1106"/>
      <c r="H294" s="1106"/>
      <c r="I294" s="372"/>
      <c r="J294" s="260"/>
      <c r="K294" s="260"/>
      <c r="L294" s="260"/>
      <c r="M294" s="260"/>
      <c r="N294" s="260"/>
      <c r="O294" s="260"/>
      <c r="P294" s="273"/>
      <c r="Q294" s="274"/>
    </row>
    <row r="295" spans="1:17" ht="13.95" customHeight="1" x14ac:dyDescent="0.25">
      <c r="A295" s="166"/>
      <c r="B295" s="269"/>
      <c r="C295" s="375" t="s">
        <v>975</v>
      </c>
      <c r="D295" s="1106"/>
      <c r="E295" s="1106"/>
      <c r="F295" s="1106"/>
      <c r="G295" s="1106"/>
      <c r="H295" s="1106"/>
      <c r="I295" s="372"/>
      <c r="J295" s="260"/>
      <c r="K295" s="260"/>
      <c r="L295" s="260"/>
      <c r="M295" s="260"/>
      <c r="N295" s="260"/>
      <c r="O295" s="260"/>
      <c r="P295" s="273"/>
      <c r="Q295" s="274"/>
    </row>
    <row r="296" spans="1:17" ht="13.95" customHeight="1" x14ac:dyDescent="0.25">
      <c r="A296" s="166"/>
      <c r="B296" s="269"/>
      <c r="C296" s="375" t="s">
        <v>976</v>
      </c>
      <c r="D296" s="1106"/>
      <c r="E296" s="1106"/>
      <c r="F296" s="1106"/>
      <c r="G296" s="1106"/>
      <c r="H296" s="1106"/>
      <c r="I296" s="372"/>
      <c r="J296" s="260"/>
      <c r="K296" s="260"/>
      <c r="L296" s="260"/>
      <c r="M296" s="260"/>
      <c r="N296" s="260"/>
      <c r="O296" s="260"/>
      <c r="P296" s="273"/>
      <c r="Q296" s="274"/>
    </row>
    <row r="297" spans="1:17" ht="13.95" customHeight="1" x14ac:dyDescent="0.25">
      <c r="A297" s="166"/>
      <c r="B297" s="269"/>
      <c r="C297" s="375" t="s">
        <v>977</v>
      </c>
      <c r="D297" s="1106"/>
      <c r="E297" s="1106"/>
      <c r="F297" s="1106"/>
      <c r="G297" s="1106"/>
      <c r="H297" s="1106"/>
      <c r="I297" s="372"/>
      <c r="J297" s="260"/>
      <c r="K297" s="260"/>
      <c r="L297" s="260"/>
      <c r="M297" s="260"/>
      <c r="N297" s="260"/>
      <c r="O297" s="260"/>
      <c r="P297" s="273"/>
      <c r="Q297" s="274"/>
    </row>
    <row r="298" spans="1:17" ht="13.95" customHeight="1" x14ac:dyDescent="0.25">
      <c r="A298" s="166"/>
      <c r="B298" s="269"/>
      <c r="C298" s="375" t="s">
        <v>978</v>
      </c>
      <c r="D298" s="1106"/>
      <c r="E298" s="1106"/>
      <c r="F298" s="1106"/>
      <c r="G298" s="1106"/>
      <c r="H298" s="1106"/>
      <c r="I298" s="372"/>
      <c r="J298" s="260"/>
      <c r="K298" s="260"/>
      <c r="L298" s="260"/>
      <c r="M298" s="260"/>
      <c r="N298" s="260"/>
      <c r="O298" s="260"/>
      <c r="P298" s="273"/>
      <c r="Q298" s="274"/>
    </row>
    <row r="299" spans="1:17" ht="13.95" customHeight="1" x14ac:dyDescent="0.25">
      <c r="A299" s="166"/>
      <c r="B299" s="269"/>
      <c r="C299" s="375" t="s">
        <v>979</v>
      </c>
      <c r="D299" s="1106"/>
      <c r="E299" s="1106"/>
      <c r="F299" s="1106"/>
      <c r="G299" s="1106"/>
      <c r="H299" s="1106"/>
      <c r="I299" s="372"/>
      <c r="J299" s="260"/>
      <c r="K299" s="260"/>
      <c r="L299" s="260"/>
      <c r="M299" s="260"/>
      <c r="N299" s="260"/>
      <c r="O299" s="260"/>
      <c r="P299" s="273"/>
      <c r="Q299" s="274"/>
    </row>
    <row r="300" spans="1:17" ht="13.95" customHeight="1" x14ac:dyDescent="0.25">
      <c r="A300" s="166"/>
      <c r="B300" s="269"/>
      <c r="C300" s="375" t="s">
        <v>980</v>
      </c>
      <c r="D300" s="1106"/>
      <c r="E300" s="1106"/>
      <c r="F300" s="1106"/>
      <c r="G300" s="1106"/>
      <c r="H300" s="1106"/>
      <c r="I300" s="372"/>
      <c r="J300" s="260"/>
      <c r="K300" s="260"/>
      <c r="L300" s="260"/>
      <c r="M300" s="260"/>
      <c r="N300" s="260"/>
      <c r="O300" s="260"/>
      <c r="P300" s="273"/>
      <c r="Q300" s="274"/>
    </row>
    <row r="301" spans="1:17" ht="13.95" customHeight="1" x14ac:dyDescent="0.25">
      <c r="A301" s="166"/>
      <c r="B301" s="269"/>
      <c r="C301" s="375" t="s">
        <v>981</v>
      </c>
      <c r="D301" s="1106"/>
      <c r="E301" s="1106"/>
      <c r="F301" s="1106"/>
      <c r="G301" s="1106"/>
      <c r="H301" s="1106"/>
      <c r="I301" s="372"/>
      <c r="J301" s="260"/>
      <c r="K301" s="260"/>
      <c r="L301" s="260"/>
      <c r="M301" s="260"/>
      <c r="N301" s="260"/>
      <c r="O301" s="260"/>
      <c r="P301" s="273"/>
      <c r="Q301" s="274"/>
    </row>
    <row r="302" spans="1:17" ht="13.95" customHeight="1" x14ac:dyDescent="0.25">
      <c r="A302" s="166"/>
      <c r="B302" s="269"/>
      <c r="C302" s="375" t="s">
        <v>982</v>
      </c>
      <c r="D302" s="1106"/>
      <c r="E302" s="1106"/>
      <c r="F302" s="1106"/>
      <c r="G302" s="1106"/>
      <c r="H302" s="1106"/>
      <c r="I302" s="372"/>
      <c r="J302" s="260"/>
      <c r="K302" s="260"/>
      <c r="L302" s="260"/>
      <c r="M302" s="260"/>
      <c r="N302" s="260"/>
      <c r="O302" s="260"/>
      <c r="P302" s="273"/>
      <c r="Q302" s="274"/>
    </row>
    <row r="303" spans="1:17" ht="13.95" customHeight="1" x14ac:dyDescent="0.25">
      <c r="A303" s="166"/>
      <c r="B303" s="269"/>
      <c r="C303" s="375" t="s">
        <v>983</v>
      </c>
      <c r="D303" s="1106"/>
      <c r="E303" s="1106"/>
      <c r="F303" s="1106"/>
      <c r="G303" s="1106"/>
      <c r="H303" s="1106"/>
      <c r="I303" s="372"/>
      <c r="J303" s="260"/>
      <c r="K303" s="260"/>
      <c r="L303" s="260"/>
      <c r="M303" s="260"/>
      <c r="N303" s="260"/>
      <c r="O303" s="260"/>
      <c r="P303" s="273"/>
      <c r="Q303" s="274"/>
    </row>
    <row r="304" spans="1:17" ht="13.95" customHeight="1" x14ac:dyDescent="0.25">
      <c r="A304" s="166"/>
      <c r="B304" s="269"/>
      <c r="C304" s="375" t="s">
        <v>985</v>
      </c>
      <c r="D304" s="1106"/>
      <c r="E304" s="1106"/>
      <c r="F304" s="1106"/>
      <c r="G304" s="1106"/>
      <c r="H304" s="1106"/>
      <c r="I304" s="372"/>
      <c r="J304" s="260"/>
      <c r="K304" s="260"/>
      <c r="L304" s="260"/>
      <c r="M304" s="260"/>
      <c r="N304" s="260"/>
      <c r="O304" s="260"/>
      <c r="P304" s="273"/>
      <c r="Q304" s="274"/>
    </row>
    <row r="305" spans="1:17" ht="13.95" customHeight="1" x14ac:dyDescent="0.25">
      <c r="A305" s="166"/>
      <c r="B305" s="269"/>
      <c r="C305" s="375" t="s">
        <v>986</v>
      </c>
      <c r="D305" s="1106"/>
      <c r="E305" s="1106"/>
      <c r="F305" s="1106"/>
      <c r="G305" s="1106"/>
      <c r="H305" s="1106"/>
      <c r="I305" s="372"/>
      <c r="J305" s="260"/>
      <c r="K305" s="260"/>
      <c r="L305" s="260"/>
      <c r="M305" s="260"/>
      <c r="N305" s="260"/>
      <c r="O305" s="260"/>
      <c r="P305" s="273"/>
      <c r="Q305" s="274"/>
    </row>
    <row r="306" spans="1:17" ht="13.95" customHeight="1" x14ac:dyDescent="0.25">
      <c r="A306" s="166"/>
      <c r="B306" s="269"/>
      <c r="C306" s="375" t="s">
        <v>987</v>
      </c>
      <c r="D306" s="1106"/>
      <c r="E306" s="1106"/>
      <c r="F306" s="1106"/>
      <c r="G306" s="1106"/>
      <c r="H306" s="1106"/>
      <c r="I306" s="372"/>
      <c r="J306" s="260"/>
      <c r="K306" s="260"/>
      <c r="L306" s="260"/>
      <c r="M306" s="260"/>
      <c r="N306" s="260"/>
      <c r="O306" s="260"/>
      <c r="P306" s="273"/>
      <c r="Q306" s="274"/>
    </row>
    <row r="307" spans="1:17" ht="13.95" customHeight="1" x14ac:dyDescent="0.25">
      <c r="A307" s="166"/>
      <c r="B307" s="269"/>
      <c r="C307" s="375" t="s">
        <v>988</v>
      </c>
      <c r="D307" s="1106"/>
      <c r="E307" s="1106"/>
      <c r="F307" s="1106"/>
      <c r="G307" s="1106"/>
      <c r="H307" s="1106"/>
      <c r="I307" s="372"/>
      <c r="J307" s="260"/>
      <c r="K307" s="260"/>
      <c r="L307" s="260"/>
      <c r="M307" s="260"/>
      <c r="N307" s="260"/>
      <c r="O307" s="260"/>
      <c r="P307" s="273"/>
      <c r="Q307" s="274"/>
    </row>
    <row r="308" spans="1:17" ht="13.95" customHeight="1" x14ac:dyDescent="0.25">
      <c r="A308" s="166"/>
      <c r="B308" s="269"/>
      <c r="C308" s="375" t="s">
        <v>989</v>
      </c>
      <c r="D308" s="1106"/>
      <c r="E308" s="1106"/>
      <c r="F308" s="1106"/>
      <c r="G308" s="1106"/>
      <c r="H308" s="1106"/>
      <c r="I308" s="372"/>
      <c r="J308" s="260"/>
      <c r="K308" s="260"/>
      <c r="L308" s="260"/>
      <c r="M308" s="260"/>
      <c r="N308" s="260"/>
      <c r="O308" s="260"/>
      <c r="P308" s="273"/>
      <c r="Q308" s="274"/>
    </row>
    <row r="309" spans="1:17" ht="13.95" customHeight="1" x14ac:dyDescent="0.25">
      <c r="A309" s="166"/>
      <c r="B309" s="269"/>
      <c r="C309" s="375" t="s">
        <v>990</v>
      </c>
      <c r="D309" s="1106"/>
      <c r="E309" s="1106"/>
      <c r="F309" s="1106"/>
      <c r="G309" s="1106"/>
      <c r="H309" s="1106"/>
      <c r="I309" s="372"/>
      <c r="J309" s="260"/>
      <c r="K309" s="260"/>
      <c r="L309" s="260"/>
      <c r="M309" s="260"/>
      <c r="N309" s="260"/>
      <c r="O309" s="260"/>
      <c r="P309" s="273"/>
      <c r="Q309" s="274"/>
    </row>
    <row r="310" spans="1:17" ht="13.95" customHeight="1" x14ac:dyDescent="0.25">
      <c r="A310" s="166"/>
      <c r="B310" s="269"/>
      <c r="C310" s="375" t="s">
        <v>41</v>
      </c>
      <c r="D310" s="1106"/>
      <c r="E310" s="1106"/>
      <c r="F310" s="1106"/>
      <c r="G310" s="1106"/>
      <c r="H310" s="1106"/>
      <c r="I310" s="372"/>
      <c r="J310" s="260"/>
      <c r="K310" s="260"/>
      <c r="L310" s="260"/>
      <c r="M310" s="260"/>
      <c r="N310" s="260"/>
      <c r="O310" s="260"/>
      <c r="P310" s="273"/>
      <c r="Q310" s="274"/>
    </row>
    <row r="311" spans="1:17" ht="13.95" customHeight="1" x14ac:dyDescent="0.25">
      <c r="A311" s="166"/>
      <c r="B311" s="269"/>
      <c r="C311" s="375" t="s">
        <v>42</v>
      </c>
      <c r="D311" s="1106"/>
      <c r="E311" s="1106"/>
      <c r="F311" s="1106"/>
      <c r="G311" s="1106"/>
      <c r="H311" s="1106"/>
      <c r="I311" s="372"/>
      <c r="J311" s="260"/>
      <c r="K311" s="260"/>
      <c r="L311" s="260"/>
      <c r="M311" s="260"/>
      <c r="N311" s="260"/>
      <c r="O311" s="260"/>
      <c r="P311" s="273"/>
      <c r="Q311" s="274"/>
    </row>
    <row r="312" spans="1:17" ht="13.95" customHeight="1" x14ac:dyDescent="0.25">
      <c r="A312" s="166"/>
      <c r="B312" s="269"/>
      <c r="C312" s="375" t="s">
        <v>43</v>
      </c>
      <c r="D312" s="1106"/>
      <c r="E312" s="1106"/>
      <c r="F312" s="1106"/>
      <c r="G312" s="1106"/>
      <c r="H312" s="1106"/>
      <c r="I312" s="372"/>
      <c r="J312" s="260"/>
      <c r="K312" s="260"/>
      <c r="L312" s="260"/>
      <c r="M312" s="260"/>
      <c r="N312" s="260"/>
      <c r="O312" s="260"/>
      <c r="P312" s="273"/>
      <c r="Q312" s="274"/>
    </row>
    <row r="313" spans="1:17" ht="13.95" customHeight="1" x14ac:dyDescent="0.25">
      <c r="A313" s="166"/>
      <c r="B313" s="269"/>
      <c r="C313" s="375" t="s">
        <v>45</v>
      </c>
      <c r="D313" s="1106"/>
      <c r="E313" s="1106"/>
      <c r="F313" s="1106"/>
      <c r="G313" s="1106"/>
      <c r="H313" s="1106"/>
      <c r="I313" s="372"/>
      <c r="J313" s="260"/>
      <c r="K313" s="260"/>
      <c r="L313" s="260"/>
      <c r="M313" s="260"/>
      <c r="N313" s="260"/>
      <c r="O313" s="260"/>
      <c r="P313" s="273"/>
      <c r="Q313" s="274"/>
    </row>
    <row r="314" spans="1:17" ht="13.95" customHeight="1" x14ac:dyDescent="0.25">
      <c r="A314" s="166"/>
      <c r="B314" s="269"/>
      <c r="C314" s="375" t="s">
        <v>47</v>
      </c>
      <c r="D314" s="1106"/>
      <c r="E314" s="1106"/>
      <c r="F314" s="1106"/>
      <c r="G314" s="1106"/>
      <c r="H314" s="1106"/>
      <c r="I314" s="372"/>
      <c r="J314" s="260"/>
      <c r="K314" s="260"/>
      <c r="L314" s="260"/>
      <c r="M314" s="260"/>
      <c r="N314" s="260"/>
      <c r="O314" s="260"/>
      <c r="P314" s="273"/>
      <c r="Q314" s="274"/>
    </row>
    <row r="315" spans="1:17" ht="13.95" customHeight="1" x14ac:dyDescent="0.25">
      <c r="A315" s="166"/>
      <c r="B315" s="269"/>
      <c r="C315" s="375" t="s">
        <v>49</v>
      </c>
      <c r="D315" s="1106"/>
      <c r="E315" s="1106"/>
      <c r="F315" s="1106"/>
      <c r="G315" s="1106"/>
      <c r="H315" s="1106"/>
      <c r="I315" s="372"/>
      <c r="J315" s="260"/>
      <c r="K315" s="260"/>
      <c r="L315" s="260"/>
      <c r="M315" s="260"/>
      <c r="N315" s="260"/>
      <c r="O315" s="260"/>
      <c r="P315" s="273"/>
      <c r="Q315" s="274"/>
    </row>
    <row r="316" spans="1:17" ht="13.95" customHeight="1" x14ac:dyDescent="0.25">
      <c r="A316" s="166"/>
      <c r="B316" s="269"/>
      <c r="C316" s="375" t="s">
        <v>51</v>
      </c>
      <c r="D316" s="1106"/>
      <c r="E316" s="1106"/>
      <c r="F316" s="1106"/>
      <c r="G316" s="1106"/>
      <c r="H316" s="1106"/>
      <c r="I316" s="372"/>
      <c r="J316" s="260"/>
      <c r="K316" s="260"/>
      <c r="L316" s="260"/>
      <c r="M316" s="260"/>
      <c r="N316" s="260"/>
      <c r="O316" s="260"/>
      <c r="P316" s="273"/>
      <c r="Q316" s="274"/>
    </row>
    <row r="317" spans="1:17" ht="13.95" customHeight="1" x14ac:dyDescent="0.25">
      <c r="A317" s="166"/>
      <c r="B317" s="269"/>
      <c r="C317" s="375" t="s">
        <v>53</v>
      </c>
      <c r="D317" s="1106"/>
      <c r="E317" s="1106"/>
      <c r="F317" s="1106"/>
      <c r="G317" s="1106"/>
      <c r="H317" s="1106"/>
      <c r="I317" s="372"/>
      <c r="J317" s="260"/>
      <c r="K317" s="260"/>
      <c r="L317" s="260"/>
      <c r="M317" s="260"/>
      <c r="N317" s="260"/>
      <c r="O317" s="260"/>
      <c r="P317" s="273"/>
      <c r="Q317" s="274"/>
    </row>
    <row r="318" spans="1:17" ht="13.95" customHeight="1" x14ac:dyDescent="0.25">
      <c r="A318" s="166"/>
      <c r="B318" s="269"/>
      <c r="C318" s="375" t="s">
        <v>58</v>
      </c>
      <c r="D318" s="1106"/>
      <c r="E318" s="1106"/>
      <c r="F318" s="1106"/>
      <c r="G318" s="1106"/>
      <c r="H318" s="1106"/>
      <c r="I318" s="372"/>
      <c r="J318" s="260"/>
      <c r="K318" s="260"/>
      <c r="L318" s="260"/>
      <c r="M318" s="260"/>
      <c r="N318" s="260"/>
      <c r="O318" s="260"/>
      <c r="P318" s="273"/>
      <c r="Q318" s="274"/>
    </row>
    <row r="319" spans="1:17" ht="13.95" customHeight="1" x14ac:dyDescent="0.25">
      <c r="A319" s="166"/>
      <c r="B319" s="269"/>
      <c r="C319" s="375" t="s">
        <v>60</v>
      </c>
      <c r="D319" s="1106"/>
      <c r="E319" s="1106"/>
      <c r="F319" s="1106"/>
      <c r="G319" s="1106"/>
      <c r="H319" s="1106"/>
      <c r="I319" s="372"/>
      <c r="J319" s="260"/>
      <c r="K319" s="260"/>
      <c r="L319" s="260"/>
      <c r="M319" s="260"/>
      <c r="N319" s="260"/>
      <c r="O319" s="260"/>
      <c r="P319" s="273"/>
      <c r="Q319" s="274"/>
    </row>
    <row r="320" spans="1:17" ht="13.95" customHeight="1" x14ac:dyDescent="0.25">
      <c r="A320" s="166"/>
      <c r="B320" s="269"/>
      <c r="C320" s="375" t="s">
        <v>62</v>
      </c>
      <c r="D320" s="1106"/>
      <c r="E320" s="1106"/>
      <c r="F320" s="1106"/>
      <c r="G320" s="1106"/>
      <c r="H320" s="1106"/>
      <c r="I320" s="372"/>
      <c r="J320" s="260"/>
      <c r="K320" s="260"/>
      <c r="L320" s="260"/>
      <c r="M320" s="260"/>
      <c r="N320" s="260"/>
      <c r="O320" s="260"/>
      <c r="P320" s="273"/>
      <c r="Q320" s="274"/>
    </row>
    <row r="321" spans="1:17" ht="13.95" customHeight="1" x14ac:dyDescent="0.25">
      <c r="A321" s="166"/>
      <c r="B321" s="269"/>
      <c r="C321" s="375" t="s">
        <v>65</v>
      </c>
      <c r="D321" s="1106"/>
      <c r="E321" s="1106"/>
      <c r="F321" s="1106"/>
      <c r="G321" s="1106"/>
      <c r="H321" s="1106"/>
      <c r="I321" s="372"/>
      <c r="J321" s="260"/>
      <c r="K321" s="260"/>
      <c r="L321" s="260"/>
      <c r="M321" s="260"/>
      <c r="N321" s="260"/>
      <c r="O321" s="260"/>
      <c r="P321" s="273"/>
      <c r="Q321" s="274"/>
    </row>
    <row r="322" spans="1:17" ht="13.95" customHeight="1" x14ac:dyDescent="0.25">
      <c r="A322" s="166"/>
      <c r="B322" s="269"/>
      <c r="C322" s="375" t="s">
        <v>68</v>
      </c>
      <c r="D322" s="1106"/>
      <c r="E322" s="1106"/>
      <c r="F322" s="1106"/>
      <c r="G322" s="1106"/>
      <c r="H322" s="1106"/>
      <c r="I322" s="372"/>
      <c r="J322" s="260"/>
      <c r="K322" s="260"/>
      <c r="L322" s="260"/>
      <c r="M322" s="260"/>
      <c r="N322" s="260"/>
      <c r="O322" s="260"/>
      <c r="P322" s="273"/>
      <c r="Q322" s="274"/>
    </row>
    <row r="323" spans="1:17" ht="13.95" customHeight="1" x14ac:dyDescent="0.25">
      <c r="A323" s="166"/>
      <c r="B323" s="269"/>
      <c r="C323" s="375" t="s">
        <v>945</v>
      </c>
      <c r="D323" s="1106"/>
      <c r="E323" s="1106"/>
      <c r="F323" s="1106"/>
      <c r="G323" s="1106"/>
      <c r="H323" s="1106"/>
      <c r="I323" s="372"/>
      <c r="J323" s="260"/>
      <c r="K323" s="260"/>
      <c r="L323" s="260"/>
      <c r="M323" s="260"/>
      <c r="N323" s="260"/>
      <c r="O323" s="260"/>
      <c r="P323" s="273"/>
      <c r="Q323" s="274"/>
    </row>
    <row r="324" spans="1:17" ht="13.95" customHeight="1" x14ac:dyDescent="0.25">
      <c r="A324" s="166"/>
      <c r="B324" s="269"/>
      <c r="C324" s="375" t="s">
        <v>946</v>
      </c>
      <c r="D324" s="1106"/>
      <c r="E324" s="1106"/>
      <c r="F324" s="1106"/>
      <c r="G324" s="1106"/>
      <c r="H324" s="1106"/>
      <c r="I324" s="372"/>
      <c r="J324" s="260"/>
      <c r="K324" s="260"/>
      <c r="L324" s="260"/>
      <c r="M324" s="260"/>
      <c r="N324" s="260"/>
      <c r="O324" s="260"/>
      <c r="P324" s="273"/>
      <c r="Q324" s="274"/>
    </row>
    <row r="325" spans="1:17" ht="13.95" customHeight="1" x14ac:dyDescent="0.25">
      <c r="A325" s="166"/>
      <c r="B325" s="269"/>
      <c r="C325" s="375" t="s">
        <v>947</v>
      </c>
      <c r="D325" s="1106"/>
      <c r="E325" s="1106"/>
      <c r="F325" s="1106"/>
      <c r="G325" s="1106"/>
      <c r="H325" s="1106"/>
      <c r="I325" s="372"/>
      <c r="J325" s="260"/>
      <c r="K325" s="260"/>
      <c r="L325" s="260"/>
      <c r="M325" s="260"/>
      <c r="N325" s="260"/>
      <c r="O325" s="260"/>
      <c r="P325" s="273"/>
      <c r="Q325" s="274"/>
    </row>
    <row r="326" spans="1:17" ht="13.95" customHeight="1" x14ac:dyDescent="0.25">
      <c r="A326" s="166"/>
      <c r="B326" s="269"/>
      <c r="C326" s="375" t="s">
        <v>948</v>
      </c>
      <c r="D326" s="1106"/>
      <c r="E326" s="1106"/>
      <c r="F326" s="1106"/>
      <c r="G326" s="1106"/>
      <c r="H326" s="1106"/>
      <c r="I326" s="372"/>
      <c r="J326" s="260"/>
      <c r="K326" s="260"/>
      <c r="L326" s="260"/>
      <c r="M326" s="260"/>
      <c r="N326" s="260"/>
      <c r="O326" s="260"/>
      <c r="P326" s="273"/>
      <c r="Q326" s="274"/>
    </row>
    <row r="327" spans="1:17" ht="13.95" customHeight="1" x14ac:dyDescent="0.25">
      <c r="A327" s="166"/>
      <c r="B327" s="269"/>
      <c r="C327" s="375" t="s">
        <v>949</v>
      </c>
      <c r="D327" s="1106"/>
      <c r="E327" s="1106"/>
      <c r="F327" s="1106"/>
      <c r="G327" s="1106"/>
      <c r="H327" s="1106"/>
      <c r="I327" s="372"/>
      <c r="J327" s="260"/>
      <c r="K327" s="260"/>
      <c r="L327" s="260"/>
      <c r="M327" s="260"/>
      <c r="N327" s="260"/>
      <c r="O327" s="260"/>
      <c r="P327" s="273"/>
      <c r="Q327" s="274"/>
    </row>
    <row r="328" spans="1:17" ht="13.95" customHeight="1" x14ac:dyDescent="0.25">
      <c r="A328" s="166"/>
      <c r="B328" s="269"/>
      <c r="C328" s="375" t="s">
        <v>950</v>
      </c>
      <c r="D328" s="1106"/>
      <c r="E328" s="1106"/>
      <c r="F328" s="1106"/>
      <c r="G328" s="1106"/>
      <c r="H328" s="1106"/>
      <c r="I328" s="372"/>
      <c r="J328" s="260"/>
      <c r="K328" s="260"/>
      <c r="L328" s="260"/>
      <c r="M328" s="260"/>
      <c r="N328" s="260"/>
      <c r="O328" s="260"/>
      <c r="P328" s="273"/>
      <c r="Q328" s="274"/>
    </row>
    <row r="329" spans="1:17" ht="13.95" customHeight="1" x14ac:dyDescent="0.25">
      <c r="A329" s="166"/>
      <c r="B329" s="269"/>
      <c r="C329" s="375" t="s">
        <v>951</v>
      </c>
      <c r="D329" s="1106"/>
      <c r="E329" s="1106"/>
      <c r="F329" s="1106"/>
      <c r="G329" s="1106"/>
      <c r="H329" s="1106"/>
      <c r="I329" s="372"/>
      <c r="J329" s="260"/>
      <c r="K329" s="260"/>
      <c r="L329" s="260"/>
      <c r="M329" s="260"/>
      <c r="N329" s="260"/>
      <c r="O329" s="260"/>
      <c r="P329" s="273"/>
      <c r="Q329" s="274"/>
    </row>
    <row r="330" spans="1:17" ht="13.95" customHeight="1" x14ac:dyDescent="0.25">
      <c r="A330" s="166"/>
      <c r="B330" s="269"/>
      <c r="C330" s="375" t="s">
        <v>952</v>
      </c>
      <c r="D330" s="1106"/>
      <c r="E330" s="1106"/>
      <c r="F330" s="1106"/>
      <c r="G330" s="1106"/>
      <c r="H330" s="1106"/>
      <c r="I330" s="372"/>
      <c r="J330" s="260"/>
      <c r="K330" s="260"/>
      <c r="L330" s="260"/>
      <c r="M330" s="260"/>
      <c r="N330" s="260"/>
      <c r="O330" s="260"/>
      <c r="P330" s="273"/>
      <c r="Q330" s="274"/>
    </row>
    <row r="331" spans="1:17" ht="13.95" customHeight="1" x14ac:dyDescent="0.25">
      <c r="A331" s="166"/>
      <c r="B331" s="269"/>
      <c r="C331" s="375" t="s">
        <v>70</v>
      </c>
      <c r="D331" s="1106"/>
      <c r="E331" s="1106"/>
      <c r="F331" s="1106"/>
      <c r="G331" s="1106"/>
      <c r="H331" s="1106"/>
      <c r="I331" s="372"/>
      <c r="J331" s="260"/>
      <c r="K331" s="260"/>
      <c r="L331" s="260"/>
      <c r="M331" s="260"/>
      <c r="N331" s="260"/>
      <c r="O331" s="260"/>
      <c r="P331" s="273"/>
      <c r="Q331" s="274"/>
    </row>
    <row r="332" spans="1:17" ht="13.95" customHeight="1" x14ac:dyDescent="0.25">
      <c r="A332" s="166"/>
      <c r="B332" s="269"/>
      <c r="C332" s="375" t="s">
        <v>72</v>
      </c>
      <c r="D332" s="1106"/>
      <c r="E332" s="1106"/>
      <c r="F332" s="1106"/>
      <c r="G332" s="1106"/>
      <c r="H332" s="1106"/>
      <c r="I332" s="372"/>
      <c r="J332" s="260"/>
      <c r="K332" s="260"/>
      <c r="L332" s="260"/>
      <c r="M332" s="260"/>
      <c r="N332" s="260"/>
      <c r="O332" s="260"/>
      <c r="P332" s="273"/>
      <c r="Q332" s="274"/>
    </row>
    <row r="333" spans="1:17" ht="13.95" customHeight="1" x14ac:dyDescent="0.25">
      <c r="A333" s="166"/>
      <c r="B333" s="269"/>
      <c r="C333" s="375" t="s">
        <v>75</v>
      </c>
      <c r="D333" s="1106"/>
      <c r="E333" s="1106"/>
      <c r="F333" s="1106"/>
      <c r="G333" s="1106"/>
      <c r="H333" s="1106"/>
      <c r="I333" s="372"/>
      <c r="J333" s="260"/>
      <c r="K333" s="260"/>
      <c r="L333" s="260"/>
      <c r="M333" s="260"/>
      <c r="N333" s="260"/>
      <c r="O333" s="260"/>
      <c r="P333" s="273"/>
      <c r="Q333" s="274"/>
    </row>
    <row r="334" spans="1:17" ht="13.95" customHeight="1" x14ac:dyDescent="0.25">
      <c r="A334" s="166"/>
      <c r="B334" s="269"/>
      <c r="C334" s="375" t="s">
        <v>78</v>
      </c>
      <c r="D334" s="1106"/>
      <c r="E334" s="1106"/>
      <c r="F334" s="1106"/>
      <c r="G334" s="1106"/>
      <c r="H334" s="1106"/>
      <c r="I334" s="372"/>
      <c r="J334" s="260"/>
      <c r="K334" s="260"/>
      <c r="L334" s="260"/>
      <c r="M334" s="260"/>
      <c r="N334" s="260"/>
      <c r="O334" s="260"/>
      <c r="P334" s="273"/>
      <c r="Q334" s="274"/>
    </row>
    <row r="335" spans="1:17" ht="13.95" customHeight="1" x14ac:dyDescent="0.25">
      <c r="A335" s="166"/>
      <c r="B335" s="269"/>
      <c r="C335" s="375" t="s">
        <v>80</v>
      </c>
      <c r="D335" s="1106"/>
      <c r="E335" s="1106"/>
      <c r="F335" s="1106"/>
      <c r="G335" s="1106"/>
      <c r="H335" s="1106"/>
      <c r="I335" s="372"/>
      <c r="J335" s="260"/>
      <c r="K335" s="260"/>
      <c r="L335" s="260"/>
      <c r="M335" s="260"/>
      <c r="N335" s="260"/>
      <c r="O335" s="260"/>
      <c r="P335" s="273"/>
      <c r="Q335" s="274"/>
    </row>
    <row r="336" spans="1:17" ht="13.95" customHeight="1" x14ac:dyDescent="0.25">
      <c r="A336" s="166"/>
      <c r="B336" s="269"/>
      <c r="C336" s="375" t="s">
        <v>82</v>
      </c>
      <c r="D336" s="1106"/>
      <c r="E336" s="1106"/>
      <c r="F336" s="1106"/>
      <c r="G336" s="1106"/>
      <c r="H336" s="1106"/>
      <c r="I336" s="372"/>
      <c r="J336" s="260"/>
      <c r="K336" s="260"/>
      <c r="L336" s="260"/>
      <c r="M336" s="260"/>
      <c r="N336" s="260"/>
      <c r="O336" s="260"/>
      <c r="P336" s="273"/>
      <c r="Q336" s="274"/>
    </row>
    <row r="337" spans="1:17" ht="13.95" customHeight="1" x14ac:dyDescent="0.25">
      <c r="A337" s="166"/>
      <c r="B337" s="269"/>
      <c r="C337" s="375" t="s">
        <v>84</v>
      </c>
      <c r="D337" s="1106"/>
      <c r="E337" s="1106"/>
      <c r="F337" s="1106"/>
      <c r="G337" s="1106"/>
      <c r="H337" s="1106"/>
      <c r="I337" s="372"/>
      <c r="J337" s="260"/>
      <c r="K337" s="260"/>
      <c r="L337" s="260"/>
      <c r="M337" s="260"/>
      <c r="N337" s="260"/>
      <c r="O337" s="260"/>
      <c r="P337" s="273"/>
      <c r="Q337" s="274"/>
    </row>
    <row r="338" spans="1:17" ht="13.95" customHeight="1" x14ac:dyDescent="0.25">
      <c r="A338" s="166"/>
      <c r="B338" s="269"/>
      <c r="C338" s="375" t="s">
        <v>953</v>
      </c>
      <c r="D338" s="1106"/>
      <c r="E338" s="1106"/>
      <c r="F338" s="1106"/>
      <c r="G338" s="1106"/>
      <c r="H338" s="1106"/>
      <c r="I338" s="372"/>
      <c r="J338" s="260"/>
      <c r="K338" s="260"/>
      <c r="L338" s="260"/>
      <c r="M338" s="260"/>
      <c r="N338" s="260"/>
      <c r="O338" s="260"/>
      <c r="P338" s="273"/>
      <c r="Q338" s="274"/>
    </row>
    <row r="339" spans="1:17" ht="13.95" customHeight="1" x14ac:dyDescent="0.25">
      <c r="A339" s="166"/>
      <c r="B339" s="269"/>
      <c r="C339" s="375" t="s">
        <v>954</v>
      </c>
      <c r="D339" s="1106"/>
      <c r="E339" s="1106"/>
      <c r="F339" s="1106"/>
      <c r="G339" s="1106"/>
      <c r="H339" s="1106"/>
      <c r="I339" s="372"/>
      <c r="J339" s="260"/>
      <c r="K339" s="260"/>
      <c r="L339" s="260"/>
      <c r="M339" s="260"/>
      <c r="N339" s="260"/>
      <c r="O339" s="260"/>
      <c r="P339" s="273"/>
      <c r="Q339" s="274"/>
    </row>
    <row r="340" spans="1:17" ht="13.95" customHeight="1" x14ac:dyDescent="0.25">
      <c r="A340" s="166"/>
      <c r="B340" s="269"/>
      <c r="C340" s="375" t="s">
        <v>955</v>
      </c>
      <c r="D340" s="1106"/>
      <c r="E340" s="1106"/>
      <c r="F340" s="1106"/>
      <c r="G340" s="1106"/>
      <c r="H340" s="1106"/>
      <c r="I340" s="372"/>
      <c r="J340" s="260"/>
      <c r="K340" s="260"/>
      <c r="L340" s="260"/>
      <c r="M340" s="260"/>
      <c r="N340" s="260"/>
      <c r="O340" s="260"/>
      <c r="P340" s="273"/>
      <c r="Q340" s="274"/>
    </row>
    <row r="341" spans="1:17" ht="13.95" customHeight="1" x14ac:dyDescent="0.25">
      <c r="A341" s="166"/>
      <c r="B341" s="269"/>
      <c r="C341" s="375" t="s">
        <v>956</v>
      </c>
      <c r="D341" s="1106"/>
      <c r="E341" s="1106"/>
      <c r="F341" s="1106"/>
      <c r="G341" s="1106"/>
      <c r="H341" s="1106"/>
      <c r="I341" s="372"/>
      <c r="J341" s="260"/>
      <c r="K341" s="260"/>
      <c r="L341" s="260"/>
      <c r="M341" s="260"/>
      <c r="N341" s="260"/>
      <c r="O341" s="260"/>
      <c r="P341" s="273"/>
      <c r="Q341" s="274"/>
    </row>
    <row r="342" spans="1:17" ht="13.95" customHeight="1" x14ac:dyDescent="0.25">
      <c r="A342" s="166"/>
      <c r="B342" s="269"/>
      <c r="C342" s="375" t="s">
        <v>957</v>
      </c>
      <c r="D342" s="1106"/>
      <c r="E342" s="1106"/>
      <c r="F342" s="1106"/>
      <c r="G342" s="1106"/>
      <c r="H342" s="1106"/>
      <c r="I342" s="372"/>
      <c r="J342" s="260"/>
      <c r="K342" s="260"/>
      <c r="L342" s="260"/>
      <c r="M342" s="260"/>
      <c r="N342" s="260"/>
      <c r="O342" s="260"/>
      <c r="P342" s="273"/>
      <c r="Q342" s="274"/>
    </row>
    <row r="343" spans="1:17" ht="13.95" customHeight="1" x14ac:dyDescent="0.25">
      <c r="A343" s="166"/>
      <c r="B343" s="269"/>
      <c r="C343" s="375" t="s">
        <v>958</v>
      </c>
      <c r="D343" s="1106"/>
      <c r="E343" s="1106"/>
      <c r="F343" s="1106"/>
      <c r="G343" s="1106"/>
      <c r="H343" s="1106"/>
      <c r="I343" s="372"/>
      <c r="J343" s="260"/>
      <c r="K343" s="260"/>
      <c r="L343" s="260"/>
      <c r="M343" s="260"/>
      <c r="N343" s="260"/>
      <c r="O343" s="260"/>
      <c r="P343" s="273"/>
      <c r="Q343" s="274"/>
    </row>
    <row r="344" spans="1:17" ht="13.95" customHeight="1" x14ac:dyDescent="0.25">
      <c r="A344" s="166"/>
      <c r="B344" s="269"/>
      <c r="C344" s="375" t="s">
        <v>959</v>
      </c>
      <c r="D344" s="1106"/>
      <c r="E344" s="1106"/>
      <c r="F344" s="1106"/>
      <c r="G344" s="1106"/>
      <c r="H344" s="1106"/>
      <c r="I344" s="372"/>
      <c r="J344" s="260"/>
      <c r="K344" s="260"/>
      <c r="L344" s="260"/>
      <c r="M344" s="260"/>
      <c r="N344" s="260"/>
      <c r="O344" s="260"/>
      <c r="P344" s="273"/>
      <c r="Q344" s="274"/>
    </row>
    <row r="345" spans="1:17" ht="13.95" customHeight="1" x14ac:dyDescent="0.25">
      <c r="A345" s="166"/>
      <c r="B345" s="269"/>
      <c r="C345" s="375" t="s">
        <v>960</v>
      </c>
      <c r="D345" s="1106"/>
      <c r="E345" s="1106"/>
      <c r="F345" s="1106"/>
      <c r="G345" s="1106"/>
      <c r="H345" s="1106"/>
      <c r="I345" s="372"/>
      <c r="J345" s="260"/>
      <c r="K345" s="260"/>
      <c r="L345" s="260"/>
      <c r="M345" s="260"/>
      <c r="N345" s="260"/>
      <c r="O345" s="260"/>
      <c r="P345" s="273"/>
      <c r="Q345" s="274"/>
    </row>
    <row r="346" spans="1:17" ht="13.95" customHeight="1" x14ac:dyDescent="0.25">
      <c r="A346" s="166"/>
      <c r="B346" s="269"/>
      <c r="C346" s="375" t="s">
        <v>961</v>
      </c>
      <c r="D346" s="1106"/>
      <c r="E346" s="1106"/>
      <c r="F346" s="1106"/>
      <c r="G346" s="1106"/>
      <c r="H346" s="1106"/>
      <c r="I346" s="372"/>
      <c r="J346" s="260"/>
      <c r="K346" s="260"/>
      <c r="L346" s="260"/>
      <c r="M346" s="260"/>
      <c r="N346" s="260"/>
      <c r="O346" s="260"/>
      <c r="P346" s="273"/>
      <c r="Q346" s="274"/>
    </row>
    <row r="347" spans="1:17" ht="13.95" customHeight="1" x14ac:dyDescent="0.25">
      <c r="A347" s="166"/>
      <c r="B347" s="269"/>
      <c r="C347" s="375" t="s">
        <v>962</v>
      </c>
      <c r="D347" s="1106"/>
      <c r="E347" s="1106"/>
      <c r="F347" s="1106"/>
      <c r="G347" s="1106"/>
      <c r="H347" s="1106"/>
      <c r="I347" s="372"/>
      <c r="J347" s="260"/>
      <c r="K347" s="260"/>
      <c r="L347" s="260"/>
      <c r="M347" s="260"/>
      <c r="N347" s="260"/>
      <c r="O347" s="260"/>
      <c r="P347" s="273"/>
      <c r="Q347" s="274"/>
    </row>
    <row r="348" spans="1:17" ht="13.95" customHeight="1" x14ac:dyDescent="0.25">
      <c r="A348" s="166"/>
      <c r="B348" s="269"/>
      <c r="C348" s="375" t="s">
        <v>963</v>
      </c>
      <c r="D348" s="1106"/>
      <c r="E348" s="1106"/>
      <c r="F348" s="1106"/>
      <c r="G348" s="1106"/>
      <c r="H348" s="1106"/>
      <c r="I348" s="372"/>
      <c r="J348" s="260"/>
      <c r="K348" s="260"/>
      <c r="L348" s="260"/>
      <c r="M348" s="260"/>
      <c r="N348" s="260"/>
      <c r="O348" s="260"/>
      <c r="P348" s="273"/>
      <c r="Q348" s="274"/>
    </row>
    <row r="349" spans="1:17" ht="13.95" customHeight="1" x14ac:dyDescent="0.25">
      <c r="A349" s="166"/>
      <c r="B349" s="269"/>
      <c r="C349" s="375" t="s">
        <v>211</v>
      </c>
      <c r="D349" s="1106"/>
      <c r="E349" s="1106"/>
      <c r="F349" s="1106"/>
      <c r="G349" s="1106"/>
      <c r="H349" s="1106"/>
      <c r="I349" s="372"/>
      <c r="J349" s="260"/>
      <c r="K349" s="260"/>
      <c r="L349" s="260"/>
      <c r="M349" s="260"/>
      <c r="N349" s="260"/>
      <c r="O349" s="260"/>
      <c r="P349" s="273"/>
      <c r="Q349" s="274"/>
    </row>
    <row r="350" spans="1:17" ht="13.95" customHeight="1" x14ac:dyDescent="0.25">
      <c r="A350" s="166"/>
      <c r="B350" s="269"/>
      <c r="C350" s="375" t="s">
        <v>212</v>
      </c>
      <c r="D350" s="1106"/>
      <c r="E350" s="1106"/>
      <c r="F350" s="1106"/>
      <c r="G350" s="1106"/>
      <c r="H350" s="1106"/>
      <c r="I350" s="372"/>
      <c r="J350" s="260"/>
      <c r="K350" s="260"/>
      <c r="L350" s="260"/>
      <c r="M350" s="260"/>
      <c r="N350" s="260"/>
      <c r="O350" s="260"/>
      <c r="P350" s="273"/>
      <c r="Q350" s="274"/>
    </row>
    <row r="351" spans="1:17" ht="13.95" customHeight="1" x14ac:dyDescent="0.25">
      <c r="A351" s="166"/>
      <c r="B351" s="269"/>
      <c r="C351" s="375" t="s">
        <v>213</v>
      </c>
      <c r="D351" s="1106"/>
      <c r="E351" s="1106"/>
      <c r="F351" s="1106"/>
      <c r="G351" s="1106"/>
      <c r="H351" s="1106"/>
      <c r="I351" s="372"/>
      <c r="J351" s="260"/>
      <c r="K351" s="260"/>
      <c r="L351" s="260"/>
      <c r="M351" s="260"/>
      <c r="N351" s="260"/>
      <c r="O351" s="260"/>
      <c r="P351" s="273"/>
      <c r="Q351" s="274"/>
    </row>
    <row r="352" spans="1:17" ht="13.95" customHeight="1" x14ac:dyDescent="0.25">
      <c r="A352" s="166"/>
      <c r="B352" s="269"/>
      <c r="C352" s="375" t="s">
        <v>214</v>
      </c>
      <c r="D352" s="1106"/>
      <c r="E352" s="1106"/>
      <c r="F352" s="1106"/>
      <c r="G352" s="1106"/>
      <c r="H352" s="1106"/>
      <c r="I352" s="372"/>
      <c r="J352" s="260"/>
      <c r="K352" s="260"/>
      <c r="L352" s="260"/>
      <c r="M352" s="260"/>
      <c r="N352" s="260"/>
      <c r="O352" s="260"/>
      <c r="P352" s="273"/>
      <c r="Q352" s="274"/>
    </row>
    <row r="353" spans="1:17" ht="13.95" customHeight="1" x14ac:dyDescent="0.25">
      <c r="A353" s="166"/>
      <c r="B353" s="269"/>
      <c r="C353" s="375" t="s">
        <v>973</v>
      </c>
      <c r="D353" s="1106"/>
      <c r="E353" s="1106"/>
      <c r="F353" s="1106"/>
      <c r="G353" s="1106"/>
      <c r="H353" s="1106"/>
      <c r="I353" s="372"/>
      <c r="J353" s="260"/>
      <c r="K353" s="260"/>
      <c r="L353" s="260"/>
      <c r="M353" s="260"/>
      <c r="N353" s="260"/>
      <c r="O353" s="260"/>
      <c r="P353" s="273"/>
      <c r="Q353" s="274"/>
    </row>
    <row r="354" spans="1:17" ht="13.95" customHeight="1" x14ac:dyDescent="0.25">
      <c r="A354" s="166"/>
      <c r="B354" s="269"/>
      <c r="C354" s="375" t="s">
        <v>2618</v>
      </c>
      <c r="D354" s="1106"/>
      <c r="E354" s="1106"/>
      <c r="F354" s="1106"/>
      <c r="G354" s="1106"/>
      <c r="H354" s="1106"/>
      <c r="I354" s="372"/>
      <c r="J354" s="260"/>
      <c r="K354" s="260"/>
      <c r="L354" s="260"/>
      <c r="M354" s="260"/>
      <c r="N354" s="260"/>
      <c r="O354" s="260"/>
      <c r="P354" s="273"/>
      <c r="Q354" s="274"/>
    </row>
    <row r="355" spans="1:17" ht="13.95" customHeight="1" x14ac:dyDescent="0.25">
      <c r="A355" s="166"/>
      <c r="B355" s="269"/>
      <c r="C355" s="375" t="s">
        <v>215</v>
      </c>
      <c r="D355" s="1106"/>
      <c r="E355" s="1106"/>
      <c r="F355" s="1106"/>
      <c r="G355" s="1106"/>
      <c r="H355" s="1106"/>
      <c r="I355" s="372"/>
      <c r="J355" s="260"/>
      <c r="K355" s="260"/>
      <c r="L355" s="260"/>
      <c r="M355" s="260"/>
      <c r="N355" s="260"/>
      <c r="O355" s="260"/>
      <c r="P355" s="273"/>
      <c r="Q355" s="274"/>
    </row>
    <row r="356" spans="1:17" ht="13.95" customHeight="1" x14ac:dyDescent="0.25">
      <c r="A356" s="166"/>
      <c r="B356" s="269"/>
      <c r="C356" s="375" t="s">
        <v>216</v>
      </c>
      <c r="D356" s="1106"/>
      <c r="E356" s="1106"/>
      <c r="F356" s="1106"/>
      <c r="G356" s="1106"/>
      <c r="H356" s="1106"/>
      <c r="I356" s="372"/>
      <c r="J356" s="260"/>
      <c r="K356" s="260"/>
      <c r="L356" s="260"/>
      <c r="M356" s="260"/>
      <c r="N356" s="260"/>
      <c r="O356" s="260"/>
      <c r="P356" s="273"/>
      <c r="Q356" s="274"/>
    </row>
    <row r="357" spans="1:17" ht="13.95" customHeight="1" x14ac:dyDescent="0.25">
      <c r="A357" s="166"/>
      <c r="B357" s="269"/>
      <c r="C357" s="375" t="s">
        <v>217</v>
      </c>
      <c r="D357" s="1106"/>
      <c r="E357" s="1106"/>
      <c r="F357" s="1106"/>
      <c r="G357" s="1106"/>
      <c r="H357" s="1106"/>
      <c r="I357" s="372"/>
      <c r="J357" s="260"/>
      <c r="K357" s="260"/>
      <c r="L357" s="260"/>
      <c r="M357" s="260"/>
      <c r="N357" s="260"/>
      <c r="O357" s="260"/>
      <c r="P357" s="273"/>
      <c r="Q357" s="274"/>
    </row>
    <row r="358" spans="1:17" ht="13.95" customHeight="1" x14ac:dyDescent="0.25">
      <c r="A358" s="166"/>
      <c r="B358" s="269"/>
      <c r="C358" s="375" t="s">
        <v>218</v>
      </c>
      <c r="D358" s="1106"/>
      <c r="E358" s="1106"/>
      <c r="F358" s="1106"/>
      <c r="G358" s="1106"/>
      <c r="H358" s="1106"/>
      <c r="I358" s="372"/>
      <c r="J358" s="260"/>
      <c r="K358" s="260"/>
      <c r="L358" s="260"/>
      <c r="M358" s="260"/>
      <c r="N358" s="260"/>
      <c r="O358" s="260"/>
      <c r="P358" s="273"/>
      <c r="Q358" s="274"/>
    </row>
    <row r="359" spans="1:17" ht="13.95" customHeight="1" x14ac:dyDescent="0.25">
      <c r="A359" s="166"/>
      <c r="B359" s="269"/>
      <c r="C359" s="375" t="s">
        <v>219</v>
      </c>
      <c r="D359" s="1106"/>
      <c r="E359" s="1106"/>
      <c r="F359" s="1106"/>
      <c r="G359" s="1106"/>
      <c r="H359" s="1106"/>
      <c r="I359" s="372"/>
      <c r="J359" s="260"/>
      <c r="K359" s="260"/>
      <c r="L359" s="260"/>
      <c r="M359" s="260"/>
      <c r="N359" s="260"/>
      <c r="O359" s="260"/>
      <c r="P359" s="273"/>
      <c r="Q359" s="274"/>
    </row>
    <row r="360" spans="1:17" ht="13.95" customHeight="1" x14ac:dyDescent="0.25">
      <c r="A360" s="166"/>
      <c r="B360" s="269"/>
      <c r="C360" s="375" t="s">
        <v>220</v>
      </c>
      <c r="D360" s="1106"/>
      <c r="E360" s="1106"/>
      <c r="F360" s="1106"/>
      <c r="G360" s="1106"/>
      <c r="H360" s="1106"/>
      <c r="I360" s="372"/>
      <c r="J360" s="260"/>
      <c r="K360" s="260"/>
      <c r="L360" s="260"/>
      <c r="M360" s="260"/>
      <c r="N360" s="260"/>
      <c r="O360" s="260"/>
      <c r="P360" s="273"/>
      <c r="Q360" s="274"/>
    </row>
    <row r="361" spans="1:17" ht="13.95" customHeight="1" x14ac:dyDescent="0.25">
      <c r="A361" s="166"/>
      <c r="B361" s="269"/>
      <c r="C361" s="375" t="s">
        <v>221</v>
      </c>
      <c r="D361" s="1106"/>
      <c r="E361" s="1106"/>
      <c r="F361" s="1106"/>
      <c r="G361" s="1106"/>
      <c r="H361" s="1106"/>
      <c r="I361" s="372"/>
      <c r="J361" s="260"/>
      <c r="K361" s="260"/>
      <c r="L361" s="260"/>
      <c r="M361" s="260"/>
      <c r="N361" s="260"/>
      <c r="O361" s="260"/>
      <c r="P361" s="273"/>
      <c r="Q361" s="274"/>
    </row>
    <row r="362" spans="1:17" ht="13.95" customHeight="1" x14ac:dyDescent="0.25">
      <c r="A362" s="166"/>
      <c r="B362" s="269"/>
      <c r="C362" s="375" t="s">
        <v>222</v>
      </c>
      <c r="D362" s="1106"/>
      <c r="E362" s="1106"/>
      <c r="F362" s="1106"/>
      <c r="G362" s="1106"/>
      <c r="H362" s="1106"/>
      <c r="I362" s="372"/>
      <c r="J362" s="260"/>
      <c r="K362" s="260"/>
      <c r="L362" s="260"/>
      <c r="M362" s="260"/>
      <c r="N362" s="260"/>
      <c r="O362" s="260"/>
      <c r="P362" s="273"/>
      <c r="Q362" s="274"/>
    </row>
    <row r="363" spans="1:17" ht="13.95" customHeight="1" x14ac:dyDescent="0.25">
      <c r="A363" s="166"/>
      <c r="B363" s="269"/>
      <c r="C363" s="375" t="s">
        <v>223</v>
      </c>
      <c r="D363" s="1106"/>
      <c r="E363" s="1106"/>
      <c r="F363" s="1106"/>
      <c r="G363" s="1106"/>
      <c r="H363" s="1106"/>
      <c r="I363" s="372"/>
      <c r="J363" s="260"/>
      <c r="K363" s="260"/>
      <c r="L363" s="260"/>
      <c r="M363" s="260"/>
      <c r="N363" s="260"/>
      <c r="O363" s="260"/>
      <c r="P363" s="273"/>
      <c r="Q363" s="274"/>
    </row>
    <row r="364" spans="1:17" ht="13.95" customHeight="1" x14ac:dyDescent="0.25">
      <c r="A364" s="166"/>
      <c r="B364" s="269"/>
      <c r="C364" s="375" t="s">
        <v>225</v>
      </c>
      <c r="D364" s="1106"/>
      <c r="E364" s="1106"/>
      <c r="F364" s="1106"/>
      <c r="G364" s="1106"/>
      <c r="H364" s="1106"/>
      <c r="I364" s="372"/>
      <c r="J364" s="260"/>
      <c r="K364" s="260"/>
      <c r="L364" s="260"/>
      <c r="M364" s="260"/>
      <c r="N364" s="260"/>
      <c r="O364" s="260"/>
      <c r="P364" s="273"/>
      <c r="Q364" s="274"/>
    </row>
    <row r="365" spans="1:17" ht="13.95" customHeight="1" x14ac:dyDescent="0.25">
      <c r="A365" s="166"/>
      <c r="B365" s="269"/>
      <c r="C365" s="375" t="s">
        <v>226</v>
      </c>
      <c r="D365" s="1106"/>
      <c r="E365" s="1106"/>
      <c r="F365" s="1106"/>
      <c r="G365" s="1106"/>
      <c r="H365" s="1106"/>
      <c r="I365" s="372"/>
      <c r="J365" s="260"/>
      <c r="K365" s="260"/>
      <c r="L365" s="260"/>
      <c r="M365" s="260"/>
      <c r="N365" s="260"/>
      <c r="O365" s="260"/>
      <c r="P365" s="273"/>
      <c r="Q365" s="274"/>
    </row>
    <row r="366" spans="1:17" ht="13.95" customHeight="1" x14ac:dyDescent="0.25">
      <c r="A366" s="166"/>
      <c r="B366" s="269"/>
      <c r="C366" s="375" t="s">
        <v>227</v>
      </c>
      <c r="D366" s="1106"/>
      <c r="E366" s="1106"/>
      <c r="F366" s="1106"/>
      <c r="G366" s="1106"/>
      <c r="H366" s="1106"/>
      <c r="I366" s="372"/>
      <c r="J366" s="260"/>
      <c r="K366" s="260"/>
      <c r="L366" s="260"/>
      <c r="M366" s="260"/>
      <c r="N366" s="260"/>
      <c r="O366" s="260"/>
      <c r="P366" s="273"/>
      <c r="Q366" s="274"/>
    </row>
    <row r="367" spans="1:17" ht="13.95" customHeight="1" x14ac:dyDescent="0.25">
      <c r="A367" s="166"/>
      <c r="B367" s="269"/>
      <c r="C367" s="375" t="s">
        <v>228</v>
      </c>
      <c r="D367" s="1106"/>
      <c r="E367" s="1106"/>
      <c r="F367" s="1106"/>
      <c r="G367" s="1106"/>
      <c r="H367" s="1106"/>
      <c r="I367" s="372"/>
      <c r="J367" s="260"/>
      <c r="K367" s="260"/>
      <c r="L367" s="260"/>
      <c r="M367" s="260"/>
      <c r="N367" s="260"/>
      <c r="O367" s="260"/>
      <c r="P367" s="273"/>
      <c r="Q367" s="274"/>
    </row>
    <row r="368" spans="1:17" ht="13.95" customHeight="1" x14ac:dyDescent="0.25">
      <c r="A368" s="166"/>
      <c r="B368" s="269"/>
      <c r="C368" s="375" t="s">
        <v>229</v>
      </c>
      <c r="D368" s="1106"/>
      <c r="E368" s="1106"/>
      <c r="F368" s="1106"/>
      <c r="G368" s="1106"/>
      <c r="H368" s="1106"/>
      <c r="I368" s="372"/>
      <c r="J368" s="260"/>
      <c r="K368" s="260"/>
      <c r="L368" s="260"/>
      <c r="M368" s="260"/>
      <c r="N368" s="260"/>
      <c r="O368" s="260"/>
      <c r="P368" s="273"/>
      <c r="Q368" s="274"/>
    </row>
    <row r="369" spans="1:17" ht="13.95" customHeight="1" x14ac:dyDescent="0.25">
      <c r="A369" s="166"/>
      <c r="B369" s="269"/>
      <c r="C369" s="375" t="s">
        <v>230</v>
      </c>
      <c r="D369" s="1106"/>
      <c r="E369" s="1106"/>
      <c r="F369" s="1106"/>
      <c r="G369" s="1106"/>
      <c r="H369" s="1106"/>
      <c r="I369" s="372"/>
      <c r="J369" s="260"/>
      <c r="K369" s="260"/>
      <c r="L369" s="260"/>
      <c r="M369" s="260"/>
      <c r="N369" s="260"/>
      <c r="O369" s="260"/>
      <c r="P369" s="273"/>
      <c r="Q369" s="274"/>
    </row>
    <row r="370" spans="1:17" ht="13.95" customHeight="1" x14ac:dyDescent="0.25">
      <c r="A370" s="166"/>
      <c r="B370" s="269"/>
      <c r="C370" s="375" t="s">
        <v>231</v>
      </c>
      <c r="D370" s="1106"/>
      <c r="E370" s="1106"/>
      <c r="F370" s="1106"/>
      <c r="G370" s="1106"/>
      <c r="H370" s="1106"/>
      <c r="I370" s="372"/>
      <c r="J370" s="260"/>
      <c r="K370" s="260"/>
      <c r="L370" s="260"/>
      <c r="M370" s="260"/>
      <c r="N370" s="260"/>
      <c r="O370" s="260"/>
      <c r="P370" s="273"/>
      <c r="Q370" s="274"/>
    </row>
    <row r="371" spans="1:17" ht="13.95" customHeight="1" x14ac:dyDescent="0.25">
      <c r="A371" s="166"/>
      <c r="B371" s="269"/>
      <c r="C371" s="375" t="s">
        <v>233</v>
      </c>
      <c r="D371" s="1106"/>
      <c r="E371" s="1106"/>
      <c r="F371" s="1106"/>
      <c r="G371" s="1106"/>
      <c r="H371" s="1106"/>
      <c r="I371" s="372"/>
      <c r="J371" s="260"/>
      <c r="K371" s="260"/>
      <c r="L371" s="260"/>
      <c r="M371" s="260"/>
      <c r="N371" s="260"/>
      <c r="O371" s="260"/>
      <c r="P371" s="273"/>
      <c r="Q371" s="274"/>
    </row>
    <row r="372" spans="1:17" ht="13.95" customHeight="1" x14ac:dyDescent="0.25">
      <c r="A372" s="166"/>
      <c r="B372" s="269"/>
      <c r="C372" s="375" t="s">
        <v>234</v>
      </c>
      <c r="D372" s="1106"/>
      <c r="E372" s="1106"/>
      <c r="F372" s="1106"/>
      <c r="G372" s="1106"/>
      <c r="H372" s="1106"/>
      <c r="I372" s="372"/>
      <c r="J372" s="260"/>
      <c r="K372" s="260"/>
      <c r="L372" s="260"/>
      <c r="M372" s="260"/>
      <c r="N372" s="260"/>
      <c r="O372" s="260"/>
      <c r="P372" s="273"/>
      <c r="Q372" s="274"/>
    </row>
    <row r="373" spans="1:17" ht="13.95" customHeight="1" x14ac:dyDescent="0.25">
      <c r="A373" s="166"/>
      <c r="B373" s="269"/>
      <c r="C373" s="375" t="s">
        <v>235</v>
      </c>
      <c r="D373" s="1106"/>
      <c r="E373" s="1106"/>
      <c r="F373" s="1106"/>
      <c r="G373" s="1106"/>
      <c r="H373" s="1106"/>
      <c r="I373" s="372"/>
      <c r="J373" s="260"/>
      <c r="K373" s="260"/>
      <c r="L373" s="260"/>
      <c r="M373" s="260"/>
      <c r="N373" s="260"/>
      <c r="O373" s="260"/>
      <c r="P373" s="273"/>
      <c r="Q373" s="274"/>
    </row>
    <row r="374" spans="1:17" ht="13.95" customHeight="1" x14ac:dyDescent="0.25">
      <c r="A374" s="166"/>
      <c r="B374" s="269"/>
      <c r="C374" s="375" t="s">
        <v>236</v>
      </c>
      <c r="D374" s="1106"/>
      <c r="E374" s="1106"/>
      <c r="F374" s="1106"/>
      <c r="G374" s="1106"/>
      <c r="H374" s="1106"/>
      <c r="I374" s="372"/>
      <c r="J374" s="260"/>
      <c r="K374" s="260"/>
      <c r="L374" s="260"/>
      <c r="M374" s="260"/>
      <c r="N374" s="260"/>
      <c r="O374" s="260"/>
      <c r="P374" s="273"/>
      <c r="Q374" s="274"/>
    </row>
    <row r="375" spans="1:17" ht="13.95" customHeight="1" x14ac:dyDescent="0.25">
      <c r="A375" s="166"/>
      <c r="B375" s="269"/>
      <c r="C375" s="375" t="s">
        <v>237</v>
      </c>
      <c r="D375" s="1106"/>
      <c r="E375" s="1106"/>
      <c r="F375" s="1106"/>
      <c r="G375" s="1106"/>
      <c r="H375" s="1106"/>
      <c r="I375" s="372"/>
      <c r="J375" s="260"/>
      <c r="K375" s="260"/>
      <c r="L375" s="260"/>
      <c r="M375" s="260"/>
      <c r="N375" s="260"/>
      <c r="O375" s="260"/>
      <c r="P375" s="273"/>
      <c r="Q375" s="274"/>
    </row>
    <row r="376" spans="1:17" ht="13.95" customHeight="1" x14ac:dyDescent="0.25">
      <c r="A376" s="166"/>
      <c r="B376" s="269"/>
      <c r="C376" s="375" t="s">
        <v>238</v>
      </c>
      <c r="D376" s="1106"/>
      <c r="E376" s="1106"/>
      <c r="F376" s="1106"/>
      <c r="G376" s="1106"/>
      <c r="H376" s="1106"/>
      <c r="I376" s="372"/>
      <c r="J376" s="260"/>
      <c r="K376" s="260"/>
      <c r="L376" s="260"/>
      <c r="M376" s="260"/>
      <c r="N376" s="260"/>
      <c r="O376" s="260"/>
      <c r="P376" s="273"/>
      <c r="Q376" s="274"/>
    </row>
    <row r="377" spans="1:17" ht="13.95" customHeight="1" x14ac:dyDescent="0.25">
      <c r="A377" s="166"/>
      <c r="B377" s="269"/>
      <c r="C377" s="375" t="s">
        <v>2623</v>
      </c>
      <c r="D377" s="1106"/>
      <c r="E377" s="1106"/>
      <c r="F377" s="1106"/>
      <c r="G377" s="1106"/>
      <c r="H377" s="1106"/>
      <c r="I377" s="372"/>
      <c r="J377" s="260"/>
      <c r="K377" s="260"/>
      <c r="L377" s="260"/>
      <c r="M377" s="260"/>
      <c r="N377" s="260"/>
      <c r="O377" s="260"/>
      <c r="P377" s="273"/>
      <c r="Q377" s="274"/>
    </row>
    <row r="378" spans="1:17" ht="13.95" customHeight="1" x14ac:dyDescent="0.25">
      <c r="A378" s="166"/>
      <c r="B378" s="269"/>
      <c r="C378" s="375" t="s">
        <v>2624</v>
      </c>
      <c r="D378" s="1106"/>
      <c r="E378" s="1106"/>
      <c r="F378" s="1106"/>
      <c r="G378" s="1106"/>
      <c r="H378" s="1106"/>
      <c r="I378" s="372"/>
      <c r="J378" s="260"/>
      <c r="K378" s="260"/>
      <c r="L378" s="260"/>
      <c r="M378" s="260"/>
      <c r="N378" s="260"/>
      <c r="O378" s="260"/>
      <c r="P378" s="273"/>
      <c r="Q378" s="274"/>
    </row>
    <row r="379" spans="1:17" ht="13.95" customHeight="1" x14ac:dyDescent="0.25">
      <c r="A379" s="166"/>
      <c r="B379" s="269"/>
      <c r="C379" s="375" t="s">
        <v>2625</v>
      </c>
      <c r="D379" s="1106"/>
      <c r="E379" s="1106"/>
      <c r="F379" s="1106"/>
      <c r="G379" s="1106"/>
      <c r="H379" s="1106"/>
      <c r="I379" s="372"/>
      <c r="J379" s="260"/>
      <c r="K379" s="260"/>
      <c r="L379" s="260"/>
      <c r="M379" s="260"/>
      <c r="N379" s="260"/>
      <c r="O379" s="260"/>
      <c r="P379" s="273"/>
      <c r="Q379" s="274"/>
    </row>
    <row r="380" spans="1:17" ht="13.95" customHeight="1" x14ac:dyDescent="0.25">
      <c r="A380" s="166"/>
      <c r="B380" s="269"/>
      <c r="C380" s="375" t="s">
        <v>2626</v>
      </c>
      <c r="D380" s="1106"/>
      <c r="E380" s="1106"/>
      <c r="F380" s="1106"/>
      <c r="G380" s="1106"/>
      <c r="H380" s="1106"/>
      <c r="I380" s="372"/>
      <c r="J380" s="260"/>
      <c r="K380" s="260"/>
      <c r="L380" s="260"/>
      <c r="M380" s="260"/>
      <c r="N380" s="260"/>
      <c r="O380" s="260"/>
      <c r="P380" s="273"/>
      <c r="Q380" s="274"/>
    </row>
    <row r="381" spans="1:17" ht="13.95" customHeight="1" x14ac:dyDescent="0.25">
      <c r="A381" s="166"/>
      <c r="B381" s="269"/>
      <c r="C381" s="375" t="s">
        <v>2627</v>
      </c>
      <c r="D381" s="1106"/>
      <c r="E381" s="1106"/>
      <c r="F381" s="1106"/>
      <c r="G381" s="1106"/>
      <c r="H381" s="1106"/>
      <c r="I381" s="372"/>
      <c r="J381" s="260"/>
      <c r="K381" s="260"/>
      <c r="L381" s="260"/>
      <c r="M381" s="260"/>
      <c r="N381" s="260"/>
      <c r="O381" s="260"/>
      <c r="P381" s="273"/>
      <c r="Q381" s="274"/>
    </row>
    <row r="382" spans="1:17" ht="13.95" customHeight="1" x14ac:dyDescent="0.25">
      <c r="A382" s="166"/>
      <c r="B382" s="269"/>
      <c r="C382" s="375" t="s">
        <v>2628</v>
      </c>
      <c r="D382" s="1106"/>
      <c r="E382" s="1106"/>
      <c r="F382" s="1106"/>
      <c r="G382" s="1106"/>
      <c r="H382" s="1106"/>
      <c r="I382" s="372"/>
      <c r="J382" s="260"/>
      <c r="K382" s="260"/>
      <c r="L382" s="260"/>
      <c r="M382" s="260"/>
      <c r="N382" s="260"/>
      <c r="O382" s="260"/>
      <c r="P382" s="273"/>
      <c r="Q382" s="274"/>
    </row>
    <row r="383" spans="1:17" ht="13.95" customHeight="1" x14ac:dyDescent="0.25">
      <c r="A383" s="166"/>
      <c r="B383" s="269"/>
      <c r="C383" s="375" t="s">
        <v>2631</v>
      </c>
      <c r="D383" s="1106"/>
      <c r="E383" s="1106"/>
      <c r="F383" s="1106"/>
      <c r="G383" s="1106"/>
      <c r="H383" s="1106"/>
      <c r="I383" s="372"/>
      <c r="J383" s="260"/>
      <c r="K383" s="260"/>
      <c r="L383" s="260"/>
      <c r="M383" s="260"/>
      <c r="N383" s="260"/>
      <c r="O383" s="260"/>
      <c r="P383" s="273"/>
      <c r="Q383" s="274"/>
    </row>
    <row r="384" spans="1:17" ht="13.95" customHeight="1" x14ac:dyDescent="0.25">
      <c r="A384" s="166"/>
      <c r="B384" s="269"/>
      <c r="C384" s="375" t="s">
        <v>2632</v>
      </c>
      <c r="D384" s="1106"/>
      <c r="E384" s="1106"/>
      <c r="F384" s="1106"/>
      <c r="G384" s="1106"/>
      <c r="H384" s="1106"/>
      <c r="I384" s="372"/>
      <c r="J384" s="260"/>
      <c r="K384" s="260"/>
      <c r="L384" s="260"/>
      <c r="M384" s="260"/>
      <c r="N384" s="260"/>
      <c r="O384" s="260"/>
      <c r="P384" s="273"/>
      <c r="Q384" s="274"/>
    </row>
    <row r="385" spans="1:17" ht="13.95" customHeight="1" x14ac:dyDescent="0.25">
      <c r="A385" s="166"/>
      <c r="B385" s="269"/>
      <c r="C385" s="375" t="s">
        <v>2633</v>
      </c>
      <c r="D385" s="1106"/>
      <c r="E385" s="1106"/>
      <c r="F385" s="1106"/>
      <c r="G385" s="1106"/>
      <c r="H385" s="1106"/>
      <c r="I385" s="372"/>
      <c r="J385" s="260"/>
      <c r="K385" s="260"/>
      <c r="L385" s="260"/>
      <c r="M385" s="260"/>
      <c r="N385" s="260"/>
      <c r="O385" s="260"/>
      <c r="P385" s="273"/>
      <c r="Q385" s="274"/>
    </row>
    <row r="386" spans="1:17" ht="13.95" customHeight="1" x14ac:dyDescent="0.25">
      <c r="A386" s="166"/>
      <c r="B386" s="269"/>
      <c r="C386" s="375" t="s">
        <v>2634</v>
      </c>
      <c r="D386" s="1106"/>
      <c r="E386" s="1106"/>
      <c r="F386" s="1106"/>
      <c r="G386" s="1106"/>
      <c r="H386" s="1106"/>
      <c r="I386" s="372"/>
      <c r="J386" s="260"/>
      <c r="K386" s="260"/>
      <c r="L386" s="260"/>
      <c r="M386" s="260"/>
      <c r="N386" s="260"/>
      <c r="O386" s="260"/>
      <c r="P386" s="273"/>
      <c r="Q386" s="274"/>
    </row>
    <row r="387" spans="1:17" ht="13.95" customHeight="1" x14ac:dyDescent="0.25">
      <c r="A387" s="166"/>
      <c r="B387" s="269"/>
      <c r="C387" s="375" t="s">
        <v>2635</v>
      </c>
      <c r="D387" s="1106"/>
      <c r="E387" s="1106"/>
      <c r="F387" s="1106"/>
      <c r="G387" s="1106"/>
      <c r="H387" s="1106"/>
      <c r="I387" s="372"/>
      <c r="J387" s="260"/>
      <c r="K387" s="260"/>
      <c r="L387" s="260"/>
      <c r="M387" s="260"/>
      <c r="N387" s="260"/>
      <c r="O387" s="260"/>
      <c r="P387" s="273"/>
      <c r="Q387" s="274"/>
    </row>
    <row r="388" spans="1:17" ht="13.95" customHeight="1" x14ac:dyDescent="0.25">
      <c r="A388" s="166"/>
      <c r="B388" s="269"/>
      <c r="C388" s="375" t="s">
        <v>2636</v>
      </c>
      <c r="D388" s="1106"/>
      <c r="E388" s="1106"/>
      <c r="F388" s="1106"/>
      <c r="G388" s="1106"/>
      <c r="H388" s="1106"/>
      <c r="I388" s="372"/>
      <c r="J388" s="260"/>
      <c r="K388" s="260"/>
      <c r="L388" s="260"/>
      <c r="M388" s="260"/>
      <c r="N388" s="260"/>
      <c r="O388" s="260"/>
      <c r="P388" s="273"/>
      <c r="Q388" s="274"/>
    </row>
    <row r="389" spans="1:17" ht="13.95" customHeight="1" x14ac:dyDescent="0.25">
      <c r="A389" s="166"/>
      <c r="B389" s="269"/>
      <c r="C389" s="375" t="s">
        <v>2637</v>
      </c>
      <c r="D389" s="1106"/>
      <c r="E389" s="1106"/>
      <c r="F389" s="1106"/>
      <c r="G389" s="1106"/>
      <c r="H389" s="1106"/>
      <c r="I389" s="372"/>
      <c r="J389" s="260"/>
      <c r="K389" s="260"/>
      <c r="L389" s="260"/>
      <c r="M389" s="260"/>
      <c r="N389" s="260"/>
      <c r="O389" s="260"/>
      <c r="P389" s="273"/>
      <c r="Q389" s="274"/>
    </row>
    <row r="390" spans="1:17" ht="13.95" customHeight="1" x14ac:dyDescent="0.25">
      <c r="A390" s="166"/>
      <c r="B390" s="269"/>
      <c r="C390" s="375" t="s">
        <v>2638</v>
      </c>
      <c r="D390" s="1106"/>
      <c r="E390" s="1106"/>
      <c r="F390" s="1106"/>
      <c r="G390" s="1106"/>
      <c r="H390" s="1106"/>
      <c r="I390" s="372"/>
      <c r="J390" s="260"/>
      <c r="K390" s="260"/>
      <c r="L390" s="260"/>
      <c r="M390" s="260"/>
      <c r="N390" s="260"/>
      <c r="O390" s="260"/>
      <c r="P390" s="273"/>
      <c r="Q390" s="274"/>
    </row>
    <row r="391" spans="1:17" ht="13.95" customHeight="1" x14ac:dyDescent="0.25">
      <c r="A391" s="166"/>
      <c r="B391" s="269"/>
      <c r="C391" s="375" t="s">
        <v>2639</v>
      </c>
      <c r="D391" s="1106"/>
      <c r="E391" s="1106"/>
      <c r="F391" s="1106"/>
      <c r="G391" s="1106"/>
      <c r="H391" s="1106"/>
      <c r="I391" s="372"/>
      <c r="J391" s="260"/>
      <c r="K391" s="260"/>
      <c r="L391" s="260"/>
      <c r="M391" s="260"/>
      <c r="N391" s="260"/>
      <c r="O391" s="260"/>
      <c r="P391" s="273"/>
      <c r="Q391" s="274"/>
    </row>
    <row r="392" spans="1:17" ht="13.95" customHeight="1" x14ac:dyDescent="0.25">
      <c r="A392" s="166"/>
      <c r="B392" s="269"/>
      <c r="C392" s="375" t="s">
        <v>2640</v>
      </c>
      <c r="D392" s="1106"/>
      <c r="E392" s="1106"/>
      <c r="F392" s="1106"/>
      <c r="G392" s="1106"/>
      <c r="H392" s="1106"/>
      <c r="I392" s="372"/>
      <c r="J392" s="260"/>
      <c r="K392" s="260"/>
      <c r="L392" s="260"/>
      <c r="M392" s="260"/>
      <c r="N392" s="260"/>
      <c r="O392" s="260"/>
      <c r="P392" s="273"/>
      <c r="Q392" s="274"/>
    </row>
    <row r="393" spans="1:17" ht="13.95" customHeight="1" x14ac:dyDescent="0.25">
      <c r="A393" s="166"/>
      <c r="B393" s="269"/>
      <c r="C393" s="375" t="s">
        <v>2641</v>
      </c>
      <c r="D393" s="1106"/>
      <c r="E393" s="1106"/>
      <c r="F393" s="1106"/>
      <c r="G393" s="1106"/>
      <c r="H393" s="1106"/>
      <c r="I393" s="372"/>
      <c r="J393" s="260"/>
      <c r="K393" s="260"/>
      <c r="L393" s="260"/>
      <c r="M393" s="260"/>
      <c r="N393" s="260"/>
      <c r="O393" s="260"/>
      <c r="P393" s="273"/>
      <c r="Q393" s="274"/>
    </row>
    <row r="394" spans="1:17" ht="13.95" customHeight="1" x14ac:dyDescent="0.25">
      <c r="A394" s="166"/>
      <c r="B394" s="269"/>
      <c r="C394" s="375" t="s">
        <v>2642</v>
      </c>
      <c r="D394" s="1106"/>
      <c r="E394" s="1106"/>
      <c r="F394" s="1106"/>
      <c r="G394" s="1106"/>
      <c r="H394" s="1106"/>
      <c r="I394" s="372"/>
      <c r="J394" s="260"/>
      <c r="K394" s="260"/>
      <c r="L394" s="260"/>
      <c r="M394" s="260"/>
      <c r="N394" s="260"/>
      <c r="O394" s="260"/>
      <c r="P394" s="273"/>
      <c r="Q394" s="274"/>
    </row>
    <row r="395" spans="1:17" ht="13.95" customHeight="1" x14ac:dyDescent="0.25">
      <c r="A395" s="166"/>
      <c r="B395" s="269"/>
      <c r="C395" s="375" t="s">
        <v>2643</v>
      </c>
      <c r="D395" s="1106"/>
      <c r="E395" s="1106"/>
      <c r="F395" s="1106"/>
      <c r="G395" s="1106"/>
      <c r="H395" s="1106"/>
      <c r="I395" s="372"/>
      <c r="J395" s="260"/>
      <c r="K395" s="260"/>
      <c r="L395" s="260"/>
      <c r="M395" s="260"/>
      <c r="N395" s="260"/>
      <c r="O395" s="260"/>
      <c r="P395" s="273"/>
      <c r="Q395" s="274"/>
    </row>
    <row r="396" spans="1:17" ht="13.95" customHeight="1" x14ac:dyDescent="0.25">
      <c r="A396" s="166"/>
      <c r="B396" s="269"/>
      <c r="C396" s="375" t="s">
        <v>2646</v>
      </c>
      <c r="D396" s="1106"/>
      <c r="E396" s="1106"/>
      <c r="F396" s="1106"/>
      <c r="G396" s="1106"/>
      <c r="H396" s="1106"/>
      <c r="I396" s="372"/>
      <c r="J396" s="260"/>
      <c r="K396" s="260"/>
      <c r="L396" s="260"/>
      <c r="M396" s="260"/>
      <c r="N396" s="260"/>
      <c r="O396" s="260"/>
      <c r="P396" s="273"/>
      <c r="Q396" s="274"/>
    </row>
    <row r="397" spans="1:17" ht="13.95" customHeight="1" x14ac:dyDescent="0.25">
      <c r="A397" s="166"/>
      <c r="B397" s="269"/>
      <c r="C397" s="375" t="s">
        <v>2647</v>
      </c>
      <c r="D397" s="1106"/>
      <c r="E397" s="1106"/>
      <c r="F397" s="1106"/>
      <c r="G397" s="1106"/>
      <c r="H397" s="1106"/>
      <c r="I397" s="372"/>
      <c r="J397" s="260"/>
      <c r="K397" s="260"/>
      <c r="L397" s="260"/>
      <c r="M397" s="260"/>
      <c r="N397" s="260"/>
      <c r="O397" s="260"/>
      <c r="P397" s="273"/>
      <c r="Q397" s="274"/>
    </row>
    <row r="398" spans="1:17" ht="13.95" customHeight="1" x14ac:dyDescent="0.25">
      <c r="A398" s="166"/>
      <c r="B398" s="269"/>
      <c r="C398" s="375" t="s">
        <v>2648</v>
      </c>
      <c r="D398" s="1106"/>
      <c r="E398" s="1106"/>
      <c r="F398" s="1106"/>
      <c r="G398" s="1106"/>
      <c r="H398" s="1106"/>
      <c r="I398" s="372"/>
      <c r="J398" s="260"/>
      <c r="K398" s="260"/>
      <c r="L398" s="260"/>
      <c r="M398" s="260"/>
      <c r="N398" s="260"/>
      <c r="O398" s="260"/>
      <c r="P398" s="273"/>
      <c r="Q398" s="274"/>
    </row>
    <row r="399" spans="1:17" ht="13.95" customHeight="1" x14ac:dyDescent="0.25">
      <c r="A399" s="166"/>
      <c r="B399" s="269"/>
      <c r="C399" s="375" t="s">
        <v>2649</v>
      </c>
      <c r="D399" s="1106"/>
      <c r="E399" s="1106"/>
      <c r="F399" s="1106"/>
      <c r="G399" s="1106"/>
      <c r="H399" s="1106"/>
      <c r="I399" s="372"/>
      <c r="J399" s="260"/>
      <c r="K399" s="260"/>
      <c r="L399" s="260"/>
      <c r="M399" s="260"/>
      <c r="N399" s="260"/>
      <c r="O399" s="260"/>
      <c r="P399" s="273"/>
      <c r="Q399" s="274"/>
    </row>
    <row r="400" spans="1:17" ht="13.95" customHeight="1" x14ac:dyDescent="0.25">
      <c r="A400" s="166"/>
      <c r="B400" s="269"/>
      <c r="C400" s="375" t="s">
        <v>2650</v>
      </c>
      <c r="D400" s="1106"/>
      <c r="E400" s="1106"/>
      <c r="F400" s="1106"/>
      <c r="G400" s="1106"/>
      <c r="H400" s="1106"/>
      <c r="I400" s="372"/>
      <c r="J400" s="260"/>
      <c r="K400" s="260"/>
      <c r="L400" s="260"/>
      <c r="M400" s="260"/>
      <c r="N400" s="260"/>
      <c r="O400" s="260"/>
      <c r="P400" s="273"/>
      <c r="Q400" s="274"/>
    </row>
    <row r="401" spans="1:17" ht="13.95" customHeight="1" x14ac:dyDescent="0.25">
      <c r="A401" s="166"/>
      <c r="B401" s="269"/>
      <c r="C401" s="375" t="s">
        <v>2651</v>
      </c>
      <c r="D401" s="1106"/>
      <c r="E401" s="1106"/>
      <c r="F401" s="1106"/>
      <c r="G401" s="1106"/>
      <c r="H401" s="1106"/>
      <c r="I401" s="372"/>
      <c r="J401" s="260"/>
      <c r="K401" s="260"/>
      <c r="L401" s="260"/>
      <c r="M401" s="260"/>
      <c r="N401" s="260"/>
      <c r="O401" s="260"/>
      <c r="P401" s="273"/>
      <c r="Q401" s="274"/>
    </row>
    <row r="402" spans="1:17" ht="13.95" customHeight="1" x14ac:dyDescent="0.25">
      <c r="A402" s="166"/>
      <c r="B402" s="269"/>
      <c r="C402" s="375" t="s">
        <v>175</v>
      </c>
      <c r="D402" s="1106"/>
      <c r="E402" s="1106"/>
      <c r="F402" s="1106"/>
      <c r="G402" s="1106"/>
      <c r="H402" s="1106"/>
      <c r="I402" s="372"/>
      <c r="J402" s="260"/>
      <c r="K402" s="260"/>
      <c r="L402" s="260"/>
      <c r="M402" s="260"/>
      <c r="N402" s="260"/>
      <c r="O402" s="260"/>
      <c r="P402" s="273"/>
      <c r="Q402" s="274"/>
    </row>
    <row r="403" spans="1:17" ht="13.95" customHeight="1" x14ac:dyDescent="0.25">
      <c r="A403" s="166"/>
      <c r="B403" s="269"/>
      <c r="C403" s="375" t="s">
        <v>176</v>
      </c>
      <c r="D403" s="1106"/>
      <c r="E403" s="1106"/>
      <c r="F403" s="1106"/>
      <c r="G403" s="1106"/>
      <c r="H403" s="1106"/>
      <c r="I403" s="372"/>
      <c r="J403" s="260"/>
      <c r="K403" s="260"/>
      <c r="L403" s="260"/>
      <c r="M403" s="260"/>
      <c r="N403" s="260"/>
      <c r="O403" s="260"/>
      <c r="P403" s="273"/>
      <c r="Q403" s="274"/>
    </row>
    <row r="404" spans="1:17" ht="13.95" customHeight="1" x14ac:dyDescent="0.25">
      <c r="A404" s="166"/>
      <c r="B404" s="269"/>
      <c r="C404" s="375" t="s">
        <v>177</v>
      </c>
      <c r="D404" s="1106"/>
      <c r="E404" s="1106"/>
      <c r="F404" s="1106"/>
      <c r="G404" s="1106"/>
      <c r="H404" s="1106"/>
      <c r="I404" s="372"/>
      <c r="J404" s="260"/>
      <c r="K404" s="260"/>
      <c r="L404" s="260"/>
      <c r="M404" s="260"/>
      <c r="N404" s="260"/>
      <c r="O404" s="260"/>
      <c r="P404" s="273"/>
      <c r="Q404" s="274"/>
    </row>
    <row r="405" spans="1:17" ht="13.95" customHeight="1" x14ac:dyDescent="0.25">
      <c r="A405" s="166"/>
      <c r="B405" s="269"/>
      <c r="C405" s="375" t="s">
        <v>178</v>
      </c>
      <c r="D405" s="1106"/>
      <c r="E405" s="1106"/>
      <c r="F405" s="1106"/>
      <c r="G405" s="1106"/>
      <c r="H405" s="1106"/>
      <c r="I405" s="372"/>
      <c r="J405" s="260"/>
      <c r="K405" s="260"/>
      <c r="L405" s="260"/>
      <c r="M405" s="260"/>
      <c r="N405" s="260"/>
      <c r="O405" s="260"/>
      <c r="P405" s="273"/>
      <c r="Q405" s="274"/>
    </row>
    <row r="406" spans="1:17" ht="13.95" customHeight="1" x14ac:dyDescent="0.25">
      <c r="A406" s="166"/>
      <c r="B406" s="269"/>
      <c r="C406" s="375" t="s">
        <v>179</v>
      </c>
      <c r="D406" s="1106"/>
      <c r="E406" s="1106"/>
      <c r="F406" s="1106"/>
      <c r="G406" s="1106"/>
      <c r="H406" s="1106"/>
      <c r="I406" s="372"/>
      <c r="J406" s="260"/>
      <c r="K406" s="260"/>
      <c r="L406" s="260"/>
      <c r="M406" s="260"/>
      <c r="N406" s="260"/>
      <c r="O406" s="260"/>
      <c r="P406" s="273"/>
      <c r="Q406" s="274"/>
    </row>
    <row r="407" spans="1:17" ht="13.95" customHeight="1" x14ac:dyDescent="0.25">
      <c r="A407" s="166"/>
      <c r="B407" s="269"/>
      <c r="C407" s="375" t="s">
        <v>180</v>
      </c>
      <c r="D407" s="1106"/>
      <c r="E407" s="1106"/>
      <c r="F407" s="1106"/>
      <c r="G407" s="1106"/>
      <c r="H407" s="1106"/>
      <c r="I407" s="372"/>
      <c r="J407" s="260"/>
      <c r="K407" s="260"/>
      <c r="L407" s="260"/>
      <c r="M407" s="260"/>
      <c r="N407" s="260"/>
      <c r="O407" s="260"/>
      <c r="P407" s="273"/>
      <c r="Q407" s="274"/>
    </row>
    <row r="408" spans="1:17" ht="13.95" customHeight="1" x14ac:dyDescent="0.25">
      <c r="A408" s="166"/>
      <c r="B408" s="269"/>
      <c r="C408" s="375" t="s">
        <v>181</v>
      </c>
      <c r="D408" s="1106"/>
      <c r="E408" s="1106"/>
      <c r="F408" s="1106"/>
      <c r="G408" s="1106"/>
      <c r="H408" s="1106"/>
      <c r="I408" s="372"/>
      <c r="J408" s="260"/>
      <c r="K408" s="260"/>
      <c r="L408" s="260"/>
      <c r="M408" s="260"/>
      <c r="N408" s="260"/>
      <c r="O408" s="260"/>
      <c r="P408" s="273"/>
      <c r="Q408" s="274"/>
    </row>
    <row r="409" spans="1:17" ht="13.95" customHeight="1" x14ac:dyDescent="0.25">
      <c r="A409" s="166"/>
      <c r="B409" s="269"/>
      <c r="C409" s="375" t="s">
        <v>182</v>
      </c>
      <c r="D409" s="1106"/>
      <c r="E409" s="1106"/>
      <c r="F409" s="1106"/>
      <c r="G409" s="1106"/>
      <c r="H409" s="1106"/>
      <c r="I409" s="372"/>
      <c r="J409" s="260"/>
      <c r="K409" s="260"/>
      <c r="L409" s="260"/>
      <c r="M409" s="260"/>
      <c r="N409" s="260"/>
      <c r="O409" s="260"/>
      <c r="P409" s="273"/>
      <c r="Q409" s="274"/>
    </row>
    <row r="410" spans="1:17" ht="13.95" customHeight="1" x14ac:dyDescent="0.25">
      <c r="A410" s="166"/>
      <c r="B410" s="269"/>
      <c r="C410" s="375" t="s">
        <v>183</v>
      </c>
      <c r="D410" s="1106"/>
      <c r="E410" s="1106"/>
      <c r="F410" s="1106"/>
      <c r="G410" s="1106"/>
      <c r="H410" s="1106"/>
      <c r="I410" s="372"/>
      <c r="J410" s="260"/>
      <c r="K410" s="260"/>
      <c r="L410" s="260"/>
      <c r="M410" s="260"/>
      <c r="N410" s="260"/>
      <c r="O410" s="260"/>
      <c r="P410" s="273"/>
      <c r="Q410" s="274"/>
    </row>
    <row r="411" spans="1:17" ht="13.95" customHeight="1" x14ac:dyDescent="0.25">
      <c r="A411" s="166"/>
      <c r="B411" s="269"/>
      <c r="C411" s="375" t="s">
        <v>184</v>
      </c>
      <c r="D411" s="1106"/>
      <c r="E411" s="1106"/>
      <c r="F411" s="1106"/>
      <c r="G411" s="1106"/>
      <c r="H411" s="1106"/>
      <c r="I411" s="372"/>
      <c r="J411" s="260"/>
      <c r="K411" s="260"/>
      <c r="L411" s="260"/>
      <c r="M411" s="260"/>
      <c r="N411" s="260"/>
      <c r="O411" s="260"/>
      <c r="P411" s="273"/>
      <c r="Q411" s="274"/>
    </row>
    <row r="412" spans="1:17" ht="13.95" customHeight="1" x14ac:dyDescent="0.25">
      <c r="A412" s="166"/>
      <c r="B412" s="269"/>
      <c r="C412" s="375" t="s">
        <v>185</v>
      </c>
      <c r="D412" s="1106"/>
      <c r="E412" s="1106"/>
      <c r="F412" s="1106"/>
      <c r="G412" s="1106"/>
      <c r="H412" s="1106"/>
      <c r="I412" s="372"/>
      <c r="J412" s="260"/>
      <c r="K412" s="260"/>
      <c r="L412" s="260"/>
      <c r="M412" s="260"/>
      <c r="N412" s="260"/>
      <c r="O412" s="260"/>
      <c r="P412" s="273"/>
      <c r="Q412" s="274"/>
    </row>
    <row r="413" spans="1:17" ht="13.95" customHeight="1" x14ac:dyDescent="0.25">
      <c r="A413" s="166"/>
      <c r="B413" s="269"/>
      <c r="C413" s="375" t="s">
        <v>187</v>
      </c>
      <c r="D413" s="1106"/>
      <c r="E413" s="1106"/>
      <c r="F413" s="1106"/>
      <c r="G413" s="1106"/>
      <c r="H413" s="1106"/>
      <c r="I413" s="372"/>
      <c r="J413" s="260"/>
      <c r="K413" s="260"/>
      <c r="L413" s="260"/>
      <c r="M413" s="260"/>
      <c r="N413" s="260"/>
      <c r="O413" s="260"/>
      <c r="P413" s="273"/>
      <c r="Q413" s="274"/>
    </row>
    <row r="414" spans="1:17" ht="13.95" customHeight="1" x14ac:dyDescent="0.25">
      <c r="A414" s="166"/>
      <c r="B414" s="269"/>
      <c r="C414" s="375" t="s">
        <v>2652</v>
      </c>
      <c r="D414" s="1106"/>
      <c r="E414" s="1106"/>
      <c r="F414" s="1106"/>
      <c r="G414" s="1106"/>
      <c r="H414" s="1106"/>
      <c r="I414" s="372"/>
      <c r="J414" s="260"/>
      <c r="K414" s="260"/>
      <c r="L414" s="260"/>
      <c r="M414" s="260"/>
      <c r="N414" s="260"/>
      <c r="O414" s="260"/>
      <c r="P414" s="273"/>
      <c r="Q414" s="274"/>
    </row>
    <row r="415" spans="1:17" ht="13.95" customHeight="1" x14ac:dyDescent="0.25">
      <c r="A415" s="166"/>
      <c r="B415" s="269"/>
      <c r="C415" s="375" t="s">
        <v>189</v>
      </c>
      <c r="D415" s="1106"/>
      <c r="E415" s="1106"/>
      <c r="F415" s="1106"/>
      <c r="G415" s="1106"/>
      <c r="H415" s="1106"/>
      <c r="I415" s="372"/>
      <c r="J415" s="260"/>
      <c r="K415" s="260"/>
      <c r="L415" s="260"/>
      <c r="M415" s="260"/>
      <c r="N415" s="260"/>
      <c r="O415" s="260"/>
      <c r="P415" s="273"/>
      <c r="Q415" s="274"/>
    </row>
    <row r="416" spans="1:17" ht="13.95" customHeight="1" x14ac:dyDescent="0.25">
      <c r="A416" s="166"/>
      <c r="B416" s="269"/>
      <c r="C416" s="375" t="s">
        <v>190</v>
      </c>
      <c r="D416" s="1106"/>
      <c r="E416" s="1106"/>
      <c r="F416" s="1106"/>
      <c r="G416" s="1106"/>
      <c r="H416" s="1106"/>
      <c r="I416" s="372"/>
      <c r="J416" s="260"/>
      <c r="K416" s="260"/>
      <c r="L416" s="260"/>
      <c r="M416" s="260"/>
      <c r="N416" s="260"/>
      <c r="O416" s="260"/>
      <c r="P416" s="273"/>
      <c r="Q416" s="274"/>
    </row>
    <row r="417" spans="1:17" ht="13.95" customHeight="1" x14ac:dyDescent="0.25">
      <c r="A417" s="166"/>
      <c r="B417" s="269"/>
      <c r="C417" s="375" t="s">
        <v>191</v>
      </c>
      <c r="D417" s="1106"/>
      <c r="E417" s="1106"/>
      <c r="F417" s="1106"/>
      <c r="G417" s="1106"/>
      <c r="H417" s="1106"/>
      <c r="I417" s="372"/>
      <c r="J417" s="260"/>
      <c r="K417" s="260"/>
      <c r="L417" s="260"/>
      <c r="M417" s="260"/>
      <c r="N417" s="260"/>
      <c r="O417" s="260"/>
      <c r="P417" s="273"/>
      <c r="Q417" s="274"/>
    </row>
    <row r="418" spans="1:17" ht="13.95" customHeight="1" x14ac:dyDescent="0.25">
      <c r="A418" s="166"/>
      <c r="B418" s="269"/>
      <c r="C418" s="375" t="s">
        <v>192</v>
      </c>
      <c r="D418" s="1106"/>
      <c r="E418" s="1106"/>
      <c r="F418" s="1106"/>
      <c r="G418" s="1106"/>
      <c r="H418" s="1106"/>
      <c r="I418" s="372"/>
      <c r="J418" s="260"/>
      <c r="K418" s="260"/>
      <c r="L418" s="260"/>
      <c r="M418" s="260"/>
      <c r="N418" s="260"/>
      <c r="O418" s="260"/>
      <c r="P418" s="273"/>
      <c r="Q418" s="274"/>
    </row>
    <row r="419" spans="1:17" ht="13.95" customHeight="1" x14ac:dyDescent="0.25">
      <c r="A419" s="166"/>
      <c r="B419" s="269"/>
      <c r="C419" s="375" t="s">
        <v>193</v>
      </c>
      <c r="D419" s="1106"/>
      <c r="E419" s="1106"/>
      <c r="F419" s="1106"/>
      <c r="G419" s="1106"/>
      <c r="H419" s="1106"/>
      <c r="I419" s="372"/>
      <c r="J419" s="260"/>
      <c r="K419" s="260"/>
      <c r="L419" s="260"/>
      <c r="M419" s="260"/>
      <c r="N419" s="260"/>
      <c r="O419" s="260"/>
      <c r="P419" s="273"/>
      <c r="Q419" s="274"/>
    </row>
    <row r="420" spans="1:17" ht="13.95" customHeight="1" x14ac:dyDescent="0.25">
      <c r="A420" s="166"/>
      <c r="B420" s="269"/>
      <c r="C420" s="375" t="s">
        <v>194</v>
      </c>
      <c r="D420" s="1106"/>
      <c r="E420" s="1106"/>
      <c r="F420" s="1106"/>
      <c r="G420" s="1106"/>
      <c r="H420" s="1106"/>
      <c r="I420" s="372"/>
      <c r="J420" s="260"/>
      <c r="K420" s="260"/>
      <c r="L420" s="260"/>
      <c r="M420" s="260"/>
      <c r="N420" s="260"/>
      <c r="O420" s="260"/>
      <c r="P420" s="273"/>
      <c r="Q420" s="274"/>
    </row>
    <row r="421" spans="1:17" ht="13.95" customHeight="1" x14ac:dyDescent="0.25">
      <c r="A421" s="166"/>
      <c r="B421" s="269"/>
      <c r="C421" s="375" t="s">
        <v>195</v>
      </c>
      <c r="D421" s="1106"/>
      <c r="E421" s="1106"/>
      <c r="F421" s="1106"/>
      <c r="G421" s="1106"/>
      <c r="H421" s="1106"/>
      <c r="I421" s="372"/>
      <c r="J421" s="260"/>
      <c r="K421" s="260"/>
      <c r="L421" s="260"/>
      <c r="M421" s="260"/>
      <c r="N421" s="260"/>
      <c r="O421" s="260"/>
      <c r="P421" s="273"/>
      <c r="Q421" s="274"/>
    </row>
    <row r="422" spans="1:17" ht="13.95" customHeight="1" x14ac:dyDescent="0.25">
      <c r="A422" s="166"/>
      <c r="B422" s="269"/>
      <c r="C422" s="375" t="s">
        <v>196</v>
      </c>
      <c r="D422" s="1106"/>
      <c r="E422" s="1106"/>
      <c r="F422" s="1106"/>
      <c r="G422" s="1106"/>
      <c r="H422" s="1106"/>
      <c r="I422" s="372"/>
      <c r="J422" s="260"/>
      <c r="K422" s="260"/>
      <c r="L422" s="260"/>
      <c r="M422" s="260"/>
      <c r="N422" s="260"/>
      <c r="O422" s="260"/>
      <c r="P422" s="273"/>
      <c r="Q422" s="274"/>
    </row>
    <row r="423" spans="1:17" ht="13.95" customHeight="1" x14ac:dyDescent="0.25">
      <c r="A423" s="166"/>
      <c r="B423" s="269"/>
      <c r="C423" s="375" t="s">
        <v>197</v>
      </c>
      <c r="D423" s="1106"/>
      <c r="E423" s="1106"/>
      <c r="F423" s="1106"/>
      <c r="G423" s="1106"/>
      <c r="H423" s="1106"/>
      <c r="I423" s="372"/>
      <c r="J423" s="260"/>
      <c r="K423" s="260"/>
      <c r="L423" s="260"/>
      <c r="M423" s="260"/>
      <c r="N423" s="260"/>
      <c r="O423" s="260"/>
      <c r="P423" s="273"/>
      <c r="Q423" s="274"/>
    </row>
    <row r="424" spans="1:17" ht="13.95" customHeight="1" x14ac:dyDescent="0.25">
      <c r="A424" s="166"/>
      <c r="B424" s="269"/>
      <c r="C424" s="375" t="s">
        <v>199</v>
      </c>
      <c r="D424" s="1106"/>
      <c r="E424" s="1106"/>
      <c r="F424" s="1106"/>
      <c r="G424" s="1106"/>
      <c r="H424" s="1106"/>
      <c r="I424" s="372"/>
      <c r="J424" s="260"/>
      <c r="K424" s="260"/>
      <c r="L424" s="260"/>
      <c r="M424" s="260"/>
      <c r="N424" s="260"/>
      <c r="O424" s="260"/>
      <c r="P424" s="273"/>
      <c r="Q424" s="274"/>
    </row>
    <row r="425" spans="1:17" ht="13.95" customHeight="1" x14ac:dyDescent="0.25">
      <c r="A425" s="166"/>
      <c r="B425" s="269"/>
      <c r="C425" s="375" t="s">
        <v>201</v>
      </c>
      <c r="D425" s="1106"/>
      <c r="E425" s="1106"/>
      <c r="F425" s="1106"/>
      <c r="G425" s="1106"/>
      <c r="H425" s="1106"/>
      <c r="I425" s="372"/>
      <c r="J425" s="260"/>
      <c r="K425" s="260"/>
      <c r="L425" s="260"/>
      <c r="M425" s="260"/>
      <c r="N425" s="260"/>
      <c r="O425" s="260"/>
      <c r="P425" s="273"/>
      <c r="Q425" s="274"/>
    </row>
    <row r="426" spans="1:17" ht="13.95" customHeight="1" x14ac:dyDescent="0.25">
      <c r="A426" s="166"/>
      <c r="B426" s="269"/>
      <c r="C426" s="375" t="s">
        <v>205</v>
      </c>
      <c r="D426" s="1106"/>
      <c r="E426" s="1106"/>
      <c r="F426" s="1106"/>
      <c r="G426" s="1106"/>
      <c r="H426" s="1106"/>
      <c r="I426" s="372"/>
      <c r="J426" s="260"/>
      <c r="K426" s="260"/>
      <c r="L426" s="260"/>
      <c r="M426" s="260"/>
      <c r="N426" s="260"/>
      <c r="O426" s="260"/>
      <c r="P426" s="273"/>
      <c r="Q426" s="274"/>
    </row>
    <row r="427" spans="1:17" ht="13.95" customHeight="1" x14ac:dyDescent="0.25">
      <c r="A427" s="166"/>
      <c r="B427" s="269"/>
      <c r="C427" s="375" t="s">
        <v>206</v>
      </c>
      <c r="D427" s="1106"/>
      <c r="E427" s="1106"/>
      <c r="F427" s="1106"/>
      <c r="G427" s="1106"/>
      <c r="H427" s="1106"/>
      <c r="I427" s="372"/>
      <c r="J427" s="260"/>
      <c r="K427" s="260"/>
      <c r="L427" s="260"/>
      <c r="M427" s="260"/>
      <c r="N427" s="260"/>
      <c r="O427" s="260"/>
      <c r="P427" s="273"/>
      <c r="Q427" s="274"/>
    </row>
    <row r="428" spans="1:17" ht="13.95" customHeight="1" x14ac:dyDescent="0.25">
      <c r="A428" s="166"/>
      <c r="B428" s="269"/>
      <c r="C428" s="375" t="s">
        <v>207</v>
      </c>
      <c r="D428" s="1106"/>
      <c r="E428" s="1106"/>
      <c r="F428" s="1106"/>
      <c r="G428" s="1106"/>
      <c r="H428" s="1106"/>
      <c r="I428" s="372"/>
      <c r="J428" s="260"/>
      <c r="K428" s="260"/>
      <c r="L428" s="260"/>
      <c r="M428" s="260"/>
      <c r="N428" s="260"/>
      <c r="O428" s="260"/>
      <c r="P428" s="273"/>
      <c r="Q428" s="274"/>
    </row>
    <row r="429" spans="1:17" ht="13.95" customHeight="1" x14ac:dyDescent="0.25">
      <c r="A429" s="166"/>
      <c r="B429" s="269"/>
      <c r="C429" s="375" t="s">
        <v>208</v>
      </c>
      <c r="D429" s="1106"/>
      <c r="E429" s="1106"/>
      <c r="F429" s="1106"/>
      <c r="G429" s="1106"/>
      <c r="H429" s="1106"/>
      <c r="I429" s="372"/>
      <c r="J429" s="260"/>
      <c r="K429" s="260"/>
      <c r="L429" s="260"/>
      <c r="M429" s="260"/>
      <c r="N429" s="260"/>
      <c r="O429" s="260"/>
      <c r="P429" s="273"/>
      <c r="Q429" s="274"/>
    </row>
    <row r="430" spans="1:17" ht="13.95" customHeight="1" x14ac:dyDescent="0.25">
      <c r="A430" s="166"/>
      <c r="B430" s="269"/>
      <c r="C430" s="375" t="s">
        <v>209</v>
      </c>
      <c r="D430" s="1106"/>
      <c r="E430" s="1106"/>
      <c r="F430" s="1106"/>
      <c r="G430" s="1106"/>
      <c r="H430" s="1106"/>
      <c r="I430" s="372"/>
      <c r="J430" s="260"/>
      <c r="K430" s="260"/>
      <c r="L430" s="260"/>
      <c r="M430" s="260"/>
      <c r="N430" s="260"/>
      <c r="O430" s="260"/>
      <c r="P430" s="273"/>
      <c r="Q430" s="274"/>
    </row>
    <row r="431" spans="1:17" ht="13.95" customHeight="1" x14ac:dyDescent="0.25">
      <c r="A431" s="166"/>
      <c r="B431" s="269"/>
      <c r="C431" s="375" t="s">
        <v>210</v>
      </c>
      <c r="D431" s="1106"/>
      <c r="E431" s="1106"/>
      <c r="F431" s="1106"/>
      <c r="G431" s="1106"/>
      <c r="H431" s="1106"/>
      <c r="I431" s="372"/>
      <c r="J431" s="260"/>
      <c r="K431" s="260"/>
      <c r="L431" s="260"/>
      <c r="M431" s="260"/>
      <c r="N431" s="260"/>
      <c r="O431" s="260"/>
      <c r="P431" s="273"/>
      <c r="Q431" s="274"/>
    </row>
    <row r="432" spans="1:17" ht="13.95" customHeight="1" x14ac:dyDescent="0.25">
      <c r="A432" s="166"/>
      <c r="B432" s="269"/>
      <c r="C432" s="375" t="s">
        <v>274</v>
      </c>
      <c r="D432" s="1106"/>
      <c r="E432" s="1106"/>
      <c r="F432" s="1106"/>
      <c r="G432" s="1106"/>
      <c r="H432" s="1106"/>
      <c r="I432" s="372"/>
      <c r="J432" s="260"/>
      <c r="K432" s="260"/>
      <c r="L432" s="260"/>
      <c r="M432" s="260"/>
      <c r="N432" s="260"/>
      <c r="O432" s="260"/>
      <c r="P432" s="273"/>
      <c r="Q432" s="274"/>
    </row>
    <row r="433" spans="1:17" ht="13.95" customHeight="1" x14ac:dyDescent="0.25">
      <c r="A433" s="166"/>
      <c r="B433" s="269"/>
      <c r="C433" s="375" t="s">
        <v>275</v>
      </c>
      <c r="D433" s="1106"/>
      <c r="E433" s="1106"/>
      <c r="F433" s="1106"/>
      <c r="G433" s="1106"/>
      <c r="H433" s="1106"/>
      <c r="I433" s="372"/>
      <c r="J433" s="260"/>
      <c r="K433" s="260"/>
      <c r="L433" s="260"/>
      <c r="M433" s="260"/>
      <c r="N433" s="260"/>
      <c r="O433" s="260"/>
      <c r="P433" s="273"/>
      <c r="Q433" s="274"/>
    </row>
    <row r="434" spans="1:17" ht="13.95" customHeight="1" x14ac:dyDescent="0.25">
      <c r="A434" s="166"/>
      <c r="B434" s="269"/>
      <c r="C434" s="375" t="s">
        <v>276</v>
      </c>
      <c r="D434" s="1106"/>
      <c r="E434" s="1106"/>
      <c r="F434" s="1106"/>
      <c r="G434" s="1106"/>
      <c r="H434" s="1106"/>
      <c r="I434" s="372"/>
      <c r="J434" s="260"/>
      <c r="K434" s="260"/>
      <c r="L434" s="260"/>
      <c r="M434" s="260"/>
      <c r="N434" s="260"/>
      <c r="O434" s="260"/>
      <c r="P434" s="273"/>
      <c r="Q434" s="274"/>
    </row>
    <row r="435" spans="1:17" ht="13.95" customHeight="1" x14ac:dyDescent="0.25">
      <c r="A435" s="166"/>
      <c r="B435" s="269"/>
      <c r="C435" s="375" t="s">
        <v>277</v>
      </c>
      <c r="D435" s="1106"/>
      <c r="E435" s="1106"/>
      <c r="F435" s="1106"/>
      <c r="G435" s="1106"/>
      <c r="H435" s="1106"/>
      <c r="I435" s="372"/>
      <c r="J435" s="260"/>
      <c r="K435" s="260"/>
      <c r="L435" s="260"/>
      <c r="M435" s="260"/>
      <c r="N435" s="260"/>
      <c r="O435" s="260"/>
      <c r="P435" s="273"/>
      <c r="Q435" s="274"/>
    </row>
    <row r="436" spans="1:17" ht="13.95" customHeight="1" x14ac:dyDescent="0.25">
      <c r="A436" s="166"/>
      <c r="B436" s="269"/>
      <c r="C436" s="375" t="s">
        <v>278</v>
      </c>
      <c r="D436" s="1106"/>
      <c r="E436" s="1106"/>
      <c r="F436" s="1106"/>
      <c r="G436" s="1106"/>
      <c r="H436" s="1106"/>
      <c r="I436" s="372"/>
      <c r="J436" s="260"/>
      <c r="K436" s="260"/>
      <c r="L436" s="260"/>
      <c r="M436" s="260"/>
      <c r="N436" s="260"/>
      <c r="O436" s="260"/>
      <c r="P436" s="273"/>
      <c r="Q436" s="274"/>
    </row>
    <row r="437" spans="1:17" ht="13.95" customHeight="1" x14ac:dyDescent="0.25">
      <c r="A437" s="166"/>
      <c r="B437" s="269"/>
      <c r="C437" s="375" t="s">
        <v>279</v>
      </c>
      <c r="D437" s="1106"/>
      <c r="E437" s="1106"/>
      <c r="F437" s="1106"/>
      <c r="G437" s="1106"/>
      <c r="H437" s="1106"/>
      <c r="I437" s="372"/>
      <c r="J437" s="260"/>
      <c r="K437" s="260"/>
      <c r="L437" s="260"/>
      <c r="M437" s="260"/>
      <c r="N437" s="260"/>
      <c r="O437" s="260"/>
      <c r="P437" s="273"/>
      <c r="Q437" s="274"/>
    </row>
    <row r="438" spans="1:17" ht="13.95" customHeight="1" x14ac:dyDescent="0.25">
      <c r="A438" s="166"/>
      <c r="B438" s="269"/>
      <c r="C438" s="375" t="s">
        <v>2653</v>
      </c>
      <c r="D438" s="1106"/>
      <c r="E438" s="1106"/>
      <c r="F438" s="1106"/>
      <c r="G438" s="1106"/>
      <c r="H438" s="1106"/>
      <c r="I438" s="372"/>
      <c r="J438" s="260"/>
      <c r="K438" s="260"/>
      <c r="L438" s="260"/>
      <c r="M438" s="260"/>
      <c r="N438" s="260"/>
      <c r="O438" s="260"/>
      <c r="P438" s="273"/>
      <c r="Q438" s="274"/>
    </row>
    <row r="439" spans="1:17" ht="13.95" customHeight="1" x14ac:dyDescent="0.25">
      <c r="A439" s="166"/>
      <c r="B439" s="269"/>
      <c r="C439" s="375" t="s">
        <v>280</v>
      </c>
      <c r="D439" s="1106"/>
      <c r="E439" s="1106"/>
      <c r="F439" s="1106"/>
      <c r="G439" s="1106"/>
      <c r="H439" s="1106"/>
      <c r="I439" s="372"/>
      <c r="J439" s="260"/>
      <c r="K439" s="260"/>
      <c r="L439" s="260"/>
      <c r="M439" s="260"/>
      <c r="N439" s="260"/>
      <c r="O439" s="260"/>
      <c r="P439" s="273"/>
      <c r="Q439" s="274"/>
    </row>
    <row r="440" spans="1:17" ht="13.95" customHeight="1" x14ac:dyDescent="0.25">
      <c r="A440" s="166"/>
      <c r="B440" s="269"/>
      <c r="C440" s="375" t="s">
        <v>281</v>
      </c>
      <c r="D440" s="1106"/>
      <c r="E440" s="1106"/>
      <c r="F440" s="1106"/>
      <c r="G440" s="1106"/>
      <c r="H440" s="1106"/>
      <c r="I440" s="372"/>
      <c r="J440" s="260"/>
      <c r="K440" s="260"/>
      <c r="L440" s="260"/>
      <c r="M440" s="260"/>
      <c r="N440" s="260"/>
      <c r="O440" s="260"/>
      <c r="P440" s="273"/>
      <c r="Q440" s="274"/>
    </row>
    <row r="441" spans="1:17" ht="13.95" customHeight="1" x14ac:dyDescent="0.25">
      <c r="A441" s="166"/>
      <c r="B441" s="269"/>
      <c r="C441" s="375" t="s">
        <v>282</v>
      </c>
      <c r="D441" s="1106"/>
      <c r="E441" s="1106"/>
      <c r="F441" s="1106"/>
      <c r="G441" s="1106"/>
      <c r="H441" s="1106"/>
      <c r="I441" s="372"/>
      <c r="J441" s="260"/>
      <c r="K441" s="260"/>
      <c r="L441" s="260"/>
      <c r="M441" s="260"/>
      <c r="N441" s="260"/>
      <c r="O441" s="260"/>
      <c r="P441" s="273"/>
      <c r="Q441" s="274"/>
    </row>
    <row r="442" spans="1:17" ht="13.95" customHeight="1" x14ac:dyDescent="0.25">
      <c r="A442" s="166"/>
      <c r="B442" s="269"/>
      <c r="C442" s="375" t="s">
        <v>283</v>
      </c>
      <c r="D442" s="1106"/>
      <c r="E442" s="1106"/>
      <c r="F442" s="1106"/>
      <c r="G442" s="1106"/>
      <c r="H442" s="1106"/>
      <c r="I442" s="372"/>
      <c r="J442" s="260"/>
      <c r="K442" s="260"/>
      <c r="L442" s="260"/>
      <c r="M442" s="260"/>
      <c r="N442" s="260"/>
      <c r="O442" s="260"/>
      <c r="P442" s="273"/>
      <c r="Q442" s="274"/>
    </row>
    <row r="443" spans="1:17" ht="13.95" customHeight="1" x14ac:dyDescent="0.25">
      <c r="A443" s="166"/>
      <c r="B443" s="269"/>
      <c r="C443" s="375" t="s">
        <v>284</v>
      </c>
      <c r="D443" s="1106"/>
      <c r="E443" s="1106"/>
      <c r="F443" s="1106"/>
      <c r="G443" s="1106"/>
      <c r="H443" s="1106"/>
      <c r="I443" s="372"/>
      <c r="J443" s="260"/>
      <c r="K443" s="260"/>
      <c r="L443" s="260"/>
      <c r="M443" s="260"/>
      <c r="N443" s="260"/>
      <c r="O443" s="260"/>
      <c r="P443" s="273"/>
      <c r="Q443" s="274"/>
    </row>
    <row r="444" spans="1:17" ht="13.95" customHeight="1" x14ac:dyDescent="0.25">
      <c r="A444" s="166"/>
      <c r="B444" s="269"/>
      <c r="C444" s="375" t="s">
        <v>285</v>
      </c>
      <c r="D444" s="1106"/>
      <c r="E444" s="1106"/>
      <c r="F444" s="1106"/>
      <c r="G444" s="1106"/>
      <c r="H444" s="1106"/>
      <c r="I444" s="372"/>
      <c r="J444" s="260"/>
      <c r="K444" s="260"/>
      <c r="L444" s="260"/>
      <c r="M444" s="260"/>
      <c r="N444" s="260"/>
      <c r="O444" s="260"/>
      <c r="P444" s="273"/>
      <c r="Q444" s="274"/>
    </row>
    <row r="445" spans="1:17" ht="13.95" customHeight="1" x14ac:dyDescent="0.25">
      <c r="A445" s="166"/>
      <c r="B445" s="269"/>
      <c r="C445" s="375" t="s">
        <v>2654</v>
      </c>
      <c r="D445" s="1106"/>
      <c r="E445" s="1106"/>
      <c r="F445" s="1106"/>
      <c r="G445" s="1106"/>
      <c r="H445" s="1106"/>
      <c r="I445" s="372"/>
      <c r="J445" s="260"/>
      <c r="K445" s="260"/>
      <c r="L445" s="260"/>
      <c r="M445" s="260"/>
      <c r="N445" s="260"/>
      <c r="O445" s="260"/>
      <c r="P445" s="273"/>
      <c r="Q445" s="274"/>
    </row>
    <row r="446" spans="1:17" ht="13.95" customHeight="1" x14ac:dyDescent="0.25">
      <c r="A446" s="166"/>
      <c r="B446" s="269"/>
      <c r="C446" s="375" t="s">
        <v>286</v>
      </c>
      <c r="D446" s="1106"/>
      <c r="E446" s="1106"/>
      <c r="F446" s="1106"/>
      <c r="G446" s="1106"/>
      <c r="H446" s="1106"/>
      <c r="I446" s="372"/>
      <c r="J446" s="260"/>
      <c r="K446" s="260"/>
      <c r="L446" s="260"/>
      <c r="M446" s="260"/>
      <c r="N446" s="260"/>
      <c r="O446" s="260"/>
      <c r="P446" s="273"/>
      <c r="Q446" s="274"/>
    </row>
    <row r="447" spans="1:17" ht="13.95" customHeight="1" x14ac:dyDescent="0.25">
      <c r="A447" s="166"/>
      <c r="B447" s="269"/>
      <c r="C447" s="375" t="s">
        <v>287</v>
      </c>
      <c r="D447" s="1106"/>
      <c r="E447" s="1106"/>
      <c r="F447" s="1106"/>
      <c r="G447" s="1106"/>
      <c r="H447" s="1106"/>
      <c r="I447" s="372"/>
      <c r="J447" s="260"/>
      <c r="K447" s="260"/>
      <c r="L447" s="260"/>
      <c r="M447" s="260"/>
      <c r="N447" s="260"/>
      <c r="O447" s="260"/>
      <c r="P447" s="273"/>
      <c r="Q447" s="274"/>
    </row>
    <row r="448" spans="1:17" ht="13.95" customHeight="1" x14ac:dyDescent="0.25">
      <c r="A448" s="166"/>
      <c r="B448" s="269"/>
      <c r="C448" s="375" t="s">
        <v>288</v>
      </c>
      <c r="D448" s="1106"/>
      <c r="E448" s="1106"/>
      <c r="F448" s="1106"/>
      <c r="G448" s="1106"/>
      <c r="H448" s="1106"/>
      <c r="I448" s="372"/>
      <c r="J448" s="260"/>
      <c r="K448" s="260"/>
      <c r="L448" s="260"/>
      <c r="M448" s="260"/>
      <c r="N448" s="260"/>
      <c r="O448" s="260"/>
      <c r="P448" s="273"/>
      <c r="Q448" s="274"/>
    </row>
    <row r="449" spans="1:17" ht="13.95" customHeight="1" x14ac:dyDescent="0.25">
      <c r="A449" s="166"/>
      <c r="B449" s="269"/>
      <c r="C449" s="375" t="s">
        <v>289</v>
      </c>
      <c r="D449" s="1106"/>
      <c r="E449" s="1106"/>
      <c r="F449" s="1106"/>
      <c r="G449" s="1106"/>
      <c r="H449" s="1106"/>
      <c r="I449" s="372"/>
      <c r="J449" s="260"/>
      <c r="K449" s="260"/>
      <c r="L449" s="260"/>
      <c r="M449" s="260"/>
      <c r="N449" s="260"/>
      <c r="O449" s="260"/>
      <c r="P449" s="273"/>
      <c r="Q449" s="274"/>
    </row>
    <row r="450" spans="1:17" ht="13.95" customHeight="1" x14ac:dyDescent="0.25">
      <c r="A450" s="166"/>
      <c r="B450" s="269"/>
      <c r="C450" s="375" t="s">
        <v>290</v>
      </c>
      <c r="D450" s="1106"/>
      <c r="E450" s="1106"/>
      <c r="F450" s="1106"/>
      <c r="G450" s="1106"/>
      <c r="H450" s="1106"/>
      <c r="I450" s="372"/>
      <c r="J450" s="260"/>
      <c r="K450" s="260"/>
      <c r="L450" s="260"/>
      <c r="M450" s="260"/>
      <c r="N450" s="260"/>
      <c r="O450" s="260"/>
      <c r="P450" s="273"/>
      <c r="Q450" s="274"/>
    </row>
    <row r="451" spans="1:17" ht="13.95" customHeight="1" x14ac:dyDescent="0.25">
      <c r="A451" s="166"/>
      <c r="B451" s="269"/>
      <c r="C451" s="375" t="s">
        <v>291</v>
      </c>
      <c r="D451" s="1106"/>
      <c r="E451" s="1106"/>
      <c r="F451" s="1106"/>
      <c r="G451" s="1106"/>
      <c r="H451" s="1106"/>
      <c r="I451" s="372"/>
      <c r="J451" s="260"/>
      <c r="K451" s="260"/>
      <c r="L451" s="260"/>
      <c r="M451" s="260"/>
      <c r="N451" s="260"/>
      <c r="O451" s="260"/>
      <c r="P451" s="273"/>
      <c r="Q451" s="274"/>
    </row>
    <row r="452" spans="1:17" ht="13.95" customHeight="1" x14ac:dyDescent="0.25">
      <c r="A452" s="166"/>
      <c r="B452" s="269"/>
      <c r="C452" s="375" t="s">
        <v>292</v>
      </c>
      <c r="D452" s="1106"/>
      <c r="E452" s="1106"/>
      <c r="F452" s="1106"/>
      <c r="G452" s="1106"/>
      <c r="H452" s="1106"/>
      <c r="I452" s="372"/>
      <c r="J452" s="260"/>
      <c r="K452" s="260"/>
      <c r="L452" s="260"/>
      <c r="M452" s="260"/>
      <c r="N452" s="260"/>
      <c r="O452" s="260"/>
      <c r="P452" s="273"/>
      <c r="Q452" s="274"/>
    </row>
    <row r="453" spans="1:17" ht="13.95" customHeight="1" x14ac:dyDescent="0.25">
      <c r="A453" s="166"/>
      <c r="B453" s="269"/>
      <c r="C453" s="375" t="s">
        <v>293</v>
      </c>
      <c r="D453" s="1106"/>
      <c r="E453" s="1106"/>
      <c r="F453" s="1106"/>
      <c r="G453" s="1106"/>
      <c r="H453" s="1106"/>
      <c r="I453" s="372"/>
      <c r="J453" s="260"/>
      <c r="K453" s="260"/>
      <c r="L453" s="260"/>
      <c r="M453" s="260"/>
      <c r="N453" s="260"/>
      <c r="O453" s="260"/>
      <c r="P453" s="273"/>
      <c r="Q453" s="274"/>
    </row>
    <row r="454" spans="1:17" ht="13.95" customHeight="1" x14ac:dyDescent="0.25">
      <c r="A454" s="166"/>
      <c r="B454" s="269"/>
      <c r="C454" s="375" t="s">
        <v>294</v>
      </c>
      <c r="D454" s="1106"/>
      <c r="E454" s="1106"/>
      <c r="F454" s="1106"/>
      <c r="G454" s="1106"/>
      <c r="H454" s="1106"/>
      <c r="I454" s="372"/>
      <c r="J454" s="260"/>
      <c r="K454" s="260"/>
      <c r="L454" s="260"/>
      <c r="M454" s="260"/>
      <c r="N454" s="260"/>
      <c r="O454" s="260"/>
      <c r="P454" s="273"/>
      <c r="Q454" s="274"/>
    </row>
    <row r="455" spans="1:17" ht="13.95" customHeight="1" x14ac:dyDescent="0.25">
      <c r="A455" s="166"/>
      <c r="B455" s="269"/>
      <c r="C455" s="375" t="s">
        <v>295</v>
      </c>
      <c r="D455" s="1106"/>
      <c r="E455" s="1106"/>
      <c r="F455" s="1106"/>
      <c r="G455" s="1106"/>
      <c r="H455" s="1106"/>
      <c r="I455" s="372"/>
      <c r="J455" s="260"/>
      <c r="K455" s="260"/>
      <c r="L455" s="260"/>
      <c r="M455" s="260"/>
      <c r="N455" s="260"/>
      <c r="O455" s="260"/>
      <c r="P455" s="273"/>
      <c r="Q455" s="274"/>
    </row>
    <row r="456" spans="1:17" ht="13.95" customHeight="1" x14ac:dyDescent="0.25">
      <c r="A456" s="166"/>
      <c r="B456" s="269"/>
      <c r="C456" s="375" t="s">
        <v>296</v>
      </c>
      <c r="D456" s="1106"/>
      <c r="E456" s="1106"/>
      <c r="F456" s="1106"/>
      <c r="G456" s="1106"/>
      <c r="H456" s="1106"/>
      <c r="I456" s="372"/>
      <c r="J456" s="260"/>
      <c r="K456" s="260"/>
      <c r="L456" s="260"/>
      <c r="M456" s="260"/>
      <c r="N456" s="260"/>
      <c r="O456" s="260"/>
      <c r="P456" s="273"/>
      <c r="Q456" s="274"/>
    </row>
    <row r="457" spans="1:17" ht="13.95" customHeight="1" x14ac:dyDescent="0.25">
      <c r="A457" s="166"/>
      <c r="B457" s="269"/>
      <c r="C457" s="375" t="s">
        <v>2655</v>
      </c>
      <c r="D457" s="1106"/>
      <c r="E457" s="1106"/>
      <c r="F457" s="1106"/>
      <c r="G457" s="1106"/>
      <c r="H457" s="1106"/>
      <c r="I457" s="372"/>
      <c r="J457" s="260"/>
      <c r="K457" s="260"/>
      <c r="L457" s="260"/>
      <c r="M457" s="260"/>
      <c r="N457" s="260"/>
      <c r="O457" s="260"/>
      <c r="P457" s="273"/>
      <c r="Q457" s="274"/>
    </row>
    <row r="458" spans="1:17" ht="13.95" customHeight="1" x14ac:dyDescent="0.25">
      <c r="A458" s="166"/>
      <c r="B458" s="269"/>
      <c r="C458" s="375" t="s">
        <v>297</v>
      </c>
      <c r="D458" s="1106"/>
      <c r="E458" s="1106"/>
      <c r="F458" s="1106"/>
      <c r="G458" s="1106"/>
      <c r="H458" s="1106"/>
      <c r="I458" s="372"/>
      <c r="J458" s="260"/>
      <c r="K458" s="260"/>
      <c r="L458" s="260"/>
      <c r="M458" s="260"/>
      <c r="N458" s="260"/>
      <c r="O458" s="260"/>
      <c r="P458" s="273"/>
      <c r="Q458" s="274"/>
    </row>
    <row r="459" spans="1:17" ht="13.95" customHeight="1" x14ac:dyDescent="0.25">
      <c r="A459" s="166"/>
      <c r="B459" s="269"/>
      <c r="C459" s="375" t="s">
        <v>298</v>
      </c>
      <c r="D459" s="1106"/>
      <c r="E459" s="1106"/>
      <c r="F459" s="1106"/>
      <c r="G459" s="1106"/>
      <c r="H459" s="1106"/>
      <c r="I459" s="372"/>
      <c r="J459" s="260"/>
      <c r="K459" s="260"/>
      <c r="L459" s="260"/>
      <c r="M459" s="260"/>
      <c r="N459" s="260"/>
      <c r="O459" s="260"/>
      <c r="P459" s="273"/>
      <c r="Q459" s="274"/>
    </row>
    <row r="460" spans="1:17" ht="13.95" customHeight="1" x14ac:dyDescent="0.25">
      <c r="A460" s="166"/>
      <c r="B460" s="269"/>
      <c r="C460" s="375" t="s">
        <v>299</v>
      </c>
      <c r="D460" s="1106"/>
      <c r="E460" s="1106"/>
      <c r="F460" s="1106"/>
      <c r="G460" s="1106"/>
      <c r="H460" s="1106"/>
      <c r="I460" s="372"/>
      <c r="J460" s="260"/>
      <c r="K460" s="260"/>
      <c r="L460" s="260"/>
      <c r="M460" s="260"/>
      <c r="N460" s="260"/>
      <c r="O460" s="260"/>
      <c r="P460" s="273"/>
      <c r="Q460" s="274"/>
    </row>
    <row r="461" spans="1:17" ht="13.95" customHeight="1" x14ac:dyDescent="0.25">
      <c r="A461" s="166"/>
      <c r="B461" s="269"/>
      <c r="C461" s="375" t="s">
        <v>300</v>
      </c>
      <c r="D461" s="1106"/>
      <c r="E461" s="1106"/>
      <c r="F461" s="1106"/>
      <c r="G461" s="1106"/>
      <c r="H461" s="1106"/>
      <c r="I461" s="372"/>
      <c r="J461" s="652"/>
      <c r="K461" s="652"/>
      <c r="L461" s="652"/>
      <c r="M461" s="652"/>
      <c r="N461" s="652"/>
      <c r="O461" s="652"/>
      <c r="P461" s="273"/>
      <c r="Q461" s="274"/>
    </row>
    <row r="462" spans="1:17" ht="13.95" customHeight="1" x14ac:dyDescent="0.25">
      <c r="A462" s="166"/>
      <c r="B462" s="669"/>
      <c r="C462" s="375" t="s">
        <v>301</v>
      </c>
      <c r="D462" s="1106"/>
      <c r="E462" s="1106"/>
      <c r="F462" s="1106"/>
      <c r="G462" s="1106"/>
      <c r="H462" s="1106"/>
      <c r="I462" s="650"/>
      <c r="J462" s="650"/>
      <c r="K462" s="650"/>
      <c r="L462" s="650"/>
      <c r="M462" s="650"/>
      <c r="N462" s="650"/>
      <c r="O462" s="650"/>
      <c r="P462" s="670"/>
      <c r="Q462" s="236"/>
    </row>
    <row r="463" spans="1:17" ht="13.95" customHeight="1" x14ac:dyDescent="0.25">
      <c r="A463" s="166"/>
      <c r="B463" s="157"/>
      <c r="C463" s="375" t="s">
        <v>302</v>
      </c>
      <c r="D463" s="1106"/>
      <c r="E463" s="1106"/>
      <c r="F463" s="1106"/>
      <c r="G463" s="1106"/>
      <c r="H463" s="1106"/>
      <c r="I463" s="260"/>
      <c r="J463" s="260"/>
      <c r="K463" s="260"/>
      <c r="L463" s="260"/>
      <c r="M463" s="260"/>
      <c r="N463" s="260"/>
      <c r="O463" s="260"/>
      <c r="P463" s="665"/>
      <c r="Q463" s="236"/>
    </row>
    <row r="464" spans="1:17" ht="13.95" customHeight="1" x14ac:dyDescent="0.25">
      <c r="A464" s="166"/>
      <c r="B464" s="157"/>
      <c r="C464" s="375" t="s">
        <v>846</v>
      </c>
      <c r="D464" s="1100"/>
      <c r="E464" s="1100"/>
      <c r="F464" s="1100"/>
      <c r="G464" s="1100"/>
      <c r="H464" s="1100"/>
      <c r="I464" s="260"/>
      <c r="J464" s="260"/>
      <c r="K464" s="260"/>
      <c r="L464" s="260"/>
      <c r="M464" s="260"/>
      <c r="N464" s="260"/>
      <c r="O464" s="260"/>
      <c r="P464" s="665"/>
      <c r="Q464" s="236"/>
    </row>
    <row r="465" spans="1:17" ht="13.95" customHeight="1" x14ac:dyDescent="0.25">
      <c r="A465" s="166"/>
      <c r="B465" s="157"/>
      <c r="C465" s="375" t="s">
        <v>847</v>
      </c>
      <c r="D465" s="1100"/>
      <c r="E465" s="1100"/>
      <c r="F465" s="1100"/>
      <c r="G465" s="1100"/>
      <c r="H465" s="1100"/>
      <c r="I465" s="260"/>
      <c r="J465" s="260"/>
      <c r="K465" s="260"/>
      <c r="L465" s="260"/>
      <c r="M465" s="260"/>
      <c r="N465" s="260"/>
      <c r="O465" s="260"/>
      <c r="P465" s="665"/>
      <c r="Q465" s="236"/>
    </row>
    <row r="466" spans="1:17" ht="13.95" customHeight="1" x14ac:dyDescent="0.25">
      <c r="A466" s="166"/>
      <c r="B466" s="157"/>
      <c r="C466" s="375" t="s">
        <v>848</v>
      </c>
      <c r="D466" s="1100"/>
      <c r="E466" s="1100"/>
      <c r="F466" s="1100"/>
      <c r="G466" s="1100"/>
      <c r="H466" s="1100"/>
      <c r="I466" s="260"/>
      <c r="J466" s="260"/>
      <c r="K466" s="260"/>
      <c r="L466" s="260"/>
      <c r="M466" s="260"/>
      <c r="N466" s="260"/>
      <c r="O466" s="260"/>
      <c r="P466" s="665"/>
      <c r="Q466" s="236"/>
    </row>
    <row r="467" spans="1:17" ht="13.95" customHeight="1" x14ac:dyDescent="0.25">
      <c r="A467" s="166"/>
      <c r="B467" s="157"/>
      <c r="C467" s="375" t="s">
        <v>849</v>
      </c>
      <c r="D467" s="1100"/>
      <c r="E467" s="1100"/>
      <c r="F467" s="1100"/>
      <c r="G467" s="1100"/>
      <c r="H467" s="1100"/>
      <c r="I467" s="260"/>
      <c r="J467" s="260"/>
      <c r="K467" s="260"/>
      <c r="L467" s="260"/>
      <c r="M467" s="260"/>
      <c r="N467" s="260"/>
      <c r="O467" s="260"/>
      <c r="P467" s="665"/>
      <c r="Q467" s="236"/>
    </row>
    <row r="468" spans="1:17" ht="13.95" customHeight="1" x14ac:dyDescent="0.25">
      <c r="A468" s="166"/>
      <c r="B468" s="157"/>
      <c r="C468" s="646" t="s">
        <v>850</v>
      </c>
      <c r="D468" s="1100"/>
      <c r="E468" s="1107"/>
      <c r="F468" s="1100"/>
      <c r="G468" s="1100"/>
      <c r="H468" s="1107"/>
      <c r="I468" s="260"/>
      <c r="J468" s="260"/>
      <c r="K468" s="260"/>
      <c r="L468" s="260"/>
      <c r="M468" s="260"/>
      <c r="N468" s="260"/>
      <c r="O468" s="260"/>
      <c r="P468" s="665"/>
      <c r="Q468" s="236"/>
    </row>
    <row r="469" spans="1:17" ht="13.95" customHeight="1" x14ac:dyDescent="0.25">
      <c r="A469" s="166"/>
      <c r="B469" s="157"/>
      <c r="C469" s="646" t="s">
        <v>851</v>
      </c>
      <c r="D469" s="1100"/>
      <c r="E469" s="1107"/>
      <c r="F469" s="1100"/>
      <c r="G469" s="1100"/>
      <c r="H469" s="1107"/>
      <c r="I469" s="260"/>
      <c r="J469" s="260"/>
      <c r="K469" s="260"/>
      <c r="L469" s="260"/>
      <c r="M469" s="260"/>
      <c r="N469" s="260"/>
      <c r="O469" s="260"/>
      <c r="P469" s="665"/>
      <c r="Q469" s="236"/>
    </row>
    <row r="470" spans="1:17" ht="13.95" customHeight="1" x14ac:dyDescent="0.25">
      <c r="A470" s="166"/>
      <c r="B470" s="157"/>
      <c r="C470" s="651" t="s">
        <v>852</v>
      </c>
      <c r="D470" s="1100"/>
      <c r="E470" s="1100"/>
      <c r="F470" s="1100"/>
      <c r="G470" s="1100"/>
      <c r="H470" s="1100"/>
      <c r="I470" s="260"/>
      <c r="J470" s="260"/>
      <c r="K470" s="260"/>
      <c r="L470" s="260"/>
      <c r="M470" s="260"/>
      <c r="N470" s="260"/>
      <c r="O470" s="260"/>
      <c r="P470" s="665"/>
      <c r="Q470" s="236"/>
    </row>
    <row r="471" spans="1:17" ht="13.95" customHeight="1" x14ac:dyDescent="0.25">
      <c r="A471" s="166"/>
      <c r="B471" s="157"/>
      <c r="C471" s="646" t="s">
        <v>853</v>
      </c>
      <c r="D471" s="1100"/>
      <c r="E471" s="1100"/>
      <c r="F471" s="1100"/>
      <c r="G471" s="1100"/>
      <c r="H471" s="1100"/>
      <c r="I471" s="260"/>
      <c r="J471" s="260"/>
      <c r="K471" s="260"/>
      <c r="L471" s="260"/>
      <c r="M471" s="260"/>
      <c r="N471" s="260"/>
      <c r="O471" s="260"/>
      <c r="P471" s="665"/>
      <c r="Q471" s="236"/>
    </row>
    <row r="472" spans="1:17" ht="13.95" customHeight="1" x14ac:dyDescent="0.25">
      <c r="A472" s="166"/>
      <c r="B472" s="157"/>
      <c r="C472" s="646" t="s">
        <v>854</v>
      </c>
      <c r="D472" s="1100"/>
      <c r="E472" s="1100"/>
      <c r="F472" s="1100"/>
      <c r="G472" s="1100"/>
      <c r="H472" s="1100"/>
      <c r="I472" s="260"/>
      <c r="J472" s="260"/>
      <c r="K472" s="260"/>
      <c r="L472" s="260"/>
      <c r="M472" s="260"/>
      <c r="N472" s="260"/>
      <c r="O472" s="260"/>
      <c r="P472" s="665"/>
      <c r="Q472" s="236"/>
    </row>
    <row r="473" spans="1:17" ht="13.95" customHeight="1" x14ac:dyDescent="0.25">
      <c r="A473" s="166"/>
      <c r="B473" s="157"/>
      <c r="C473" s="646" t="s">
        <v>855</v>
      </c>
      <c r="D473" s="1100"/>
      <c r="E473" s="1100"/>
      <c r="F473" s="1100"/>
      <c r="G473" s="1100"/>
      <c r="H473" s="1100"/>
      <c r="I473" s="260"/>
      <c r="J473" s="260"/>
      <c r="K473" s="260"/>
      <c r="L473" s="260"/>
      <c r="M473" s="260"/>
      <c r="N473" s="260"/>
      <c r="O473" s="260"/>
      <c r="P473" s="665"/>
      <c r="Q473" s="236"/>
    </row>
    <row r="474" spans="1:17" ht="13.95" customHeight="1" x14ac:dyDescent="0.25">
      <c r="A474" s="166"/>
      <c r="B474" s="157"/>
      <c r="C474" s="646" t="s">
        <v>856</v>
      </c>
      <c r="D474" s="1100"/>
      <c r="E474" s="1100"/>
      <c r="F474" s="1100"/>
      <c r="G474" s="1100"/>
      <c r="H474" s="1100"/>
      <c r="I474" s="260"/>
      <c r="J474" s="260"/>
      <c r="K474" s="260"/>
      <c r="L474" s="260"/>
      <c r="M474" s="260"/>
      <c r="N474" s="260"/>
      <c r="O474" s="260"/>
      <c r="P474" s="665"/>
      <c r="Q474" s="236"/>
    </row>
    <row r="475" spans="1:17" ht="13.95" customHeight="1" x14ac:dyDescent="0.25">
      <c r="A475" s="166"/>
      <c r="B475" s="157"/>
      <c r="C475" s="646" t="s">
        <v>857</v>
      </c>
      <c r="D475" s="1100"/>
      <c r="E475" s="1100"/>
      <c r="F475" s="1100"/>
      <c r="G475" s="1100"/>
      <c r="H475" s="1100"/>
      <c r="I475" s="260"/>
      <c r="J475" s="260"/>
      <c r="K475" s="260"/>
      <c r="L475" s="260"/>
      <c r="M475" s="260"/>
      <c r="N475" s="260"/>
      <c r="O475" s="260"/>
      <c r="P475" s="665"/>
      <c r="Q475" s="236"/>
    </row>
    <row r="476" spans="1:17" ht="13.95" customHeight="1" x14ac:dyDescent="0.25">
      <c r="A476" s="166"/>
      <c r="B476" s="157"/>
      <c r="C476" s="646" t="s">
        <v>858</v>
      </c>
      <c r="D476" s="1100"/>
      <c r="E476" s="1100"/>
      <c r="F476" s="1100"/>
      <c r="G476" s="1100"/>
      <c r="H476" s="1100"/>
      <c r="I476" s="260"/>
      <c r="J476" s="260"/>
      <c r="K476" s="260"/>
      <c r="L476" s="260"/>
      <c r="M476" s="260"/>
      <c r="N476" s="260"/>
      <c r="O476" s="260"/>
      <c r="P476" s="665"/>
      <c r="Q476" s="236"/>
    </row>
    <row r="477" spans="1:17" ht="13.95" customHeight="1" x14ac:dyDescent="0.25">
      <c r="A477" s="166"/>
      <c r="B477" s="157"/>
      <c r="C477" s="1039" t="s">
        <v>859</v>
      </c>
      <c r="D477" s="1100"/>
      <c r="E477" s="1100"/>
      <c r="F477" s="1100"/>
      <c r="G477" s="1100"/>
      <c r="H477" s="1100"/>
      <c r="I477" s="260"/>
      <c r="J477" s="260"/>
      <c r="K477" s="260"/>
      <c r="L477" s="260"/>
      <c r="M477" s="260"/>
      <c r="N477" s="260"/>
      <c r="O477" s="260"/>
      <c r="P477" s="665"/>
      <c r="Q477" s="236"/>
    </row>
    <row r="478" spans="1:17" ht="13.95" customHeight="1" x14ac:dyDescent="0.25">
      <c r="A478" s="166"/>
      <c r="B478" s="157"/>
      <c r="C478" s="1039" t="s">
        <v>860</v>
      </c>
      <c r="D478" s="1100"/>
      <c r="E478" s="1100"/>
      <c r="F478" s="1100"/>
      <c r="G478" s="1100"/>
      <c r="H478" s="1100"/>
      <c r="I478" s="260"/>
      <c r="J478" s="260"/>
      <c r="K478" s="260"/>
      <c r="L478" s="260"/>
      <c r="M478" s="260"/>
      <c r="N478" s="260"/>
      <c r="O478" s="260"/>
      <c r="P478" s="665"/>
      <c r="Q478" s="236"/>
    </row>
    <row r="479" spans="1:17" ht="13.95" customHeight="1" x14ac:dyDescent="0.25">
      <c r="A479" s="166"/>
      <c r="B479" s="157"/>
      <c r="C479" s="1039" t="s">
        <v>861</v>
      </c>
      <c r="D479" s="1100"/>
      <c r="E479" s="1100"/>
      <c r="F479" s="1100"/>
      <c r="G479" s="1100"/>
      <c r="H479" s="1100"/>
      <c r="I479" s="260"/>
      <c r="J479" s="260"/>
      <c r="K479" s="260"/>
      <c r="L479" s="260"/>
      <c r="M479" s="260"/>
      <c r="N479" s="260"/>
      <c r="O479" s="260"/>
      <c r="P479" s="665"/>
      <c r="Q479" s="236"/>
    </row>
    <row r="480" spans="1:17" ht="13.95" customHeight="1" x14ac:dyDescent="0.25">
      <c r="A480" s="166"/>
      <c r="B480" s="666"/>
      <c r="C480" s="1039" t="s">
        <v>862</v>
      </c>
      <c r="D480" s="1100"/>
      <c r="E480" s="1100"/>
      <c r="F480" s="1100"/>
      <c r="G480" s="1100"/>
      <c r="H480" s="1100"/>
      <c r="I480" s="659"/>
      <c r="J480" s="659"/>
      <c r="K480" s="659"/>
      <c r="L480" s="659"/>
      <c r="M480" s="659"/>
      <c r="N480" s="659"/>
      <c r="O480" s="659"/>
      <c r="P480" s="671"/>
      <c r="Q480" s="236"/>
    </row>
    <row r="481" spans="1:17" ht="13.95" customHeight="1" x14ac:dyDescent="0.25">
      <c r="A481" s="166"/>
      <c r="B481" s="157"/>
      <c r="C481" s="1039" t="s">
        <v>863</v>
      </c>
      <c r="D481" s="1100"/>
      <c r="E481" s="1100"/>
      <c r="F481" s="1100"/>
      <c r="G481" s="1100"/>
      <c r="H481" s="1100"/>
      <c r="I481" s="260"/>
      <c r="J481" s="260"/>
      <c r="K481" s="260"/>
      <c r="L481" s="260"/>
      <c r="M481" s="260"/>
      <c r="N481" s="260"/>
      <c r="O481" s="260"/>
      <c r="P481" s="665"/>
      <c r="Q481" s="236"/>
    </row>
    <row r="482" spans="1:17" ht="13.95" customHeight="1" x14ac:dyDescent="0.25">
      <c r="A482" s="166"/>
      <c r="B482" s="157"/>
      <c r="C482" s="1039" t="s">
        <v>864</v>
      </c>
      <c r="D482" s="1100"/>
      <c r="E482" s="1100"/>
      <c r="F482" s="1100"/>
      <c r="G482" s="1100"/>
      <c r="H482" s="1100"/>
      <c r="I482" s="260"/>
      <c r="J482" s="260"/>
      <c r="K482" s="260"/>
      <c r="L482" s="260"/>
      <c r="M482" s="260"/>
      <c r="N482" s="260"/>
      <c r="O482" s="260"/>
      <c r="P482" s="665"/>
      <c r="Q482" s="236"/>
    </row>
    <row r="483" spans="1:17" ht="13.95" customHeight="1" x14ac:dyDescent="0.25">
      <c r="A483" s="166"/>
      <c r="B483" s="157"/>
      <c r="C483" s="1039" t="s">
        <v>865</v>
      </c>
      <c r="D483" s="1100"/>
      <c r="E483" s="1100"/>
      <c r="F483" s="1100"/>
      <c r="G483" s="1100"/>
      <c r="H483" s="1100"/>
      <c r="I483" s="260"/>
      <c r="J483" s="260"/>
      <c r="K483" s="260"/>
      <c r="L483" s="260"/>
      <c r="M483" s="260"/>
      <c r="N483" s="260"/>
      <c r="O483" s="260"/>
      <c r="P483" s="665"/>
      <c r="Q483" s="236"/>
    </row>
    <row r="484" spans="1:17" ht="13.95" customHeight="1" x14ac:dyDescent="0.25">
      <c r="A484" s="166"/>
      <c r="B484" s="157"/>
      <c r="C484" s="1039" t="s">
        <v>866</v>
      </c>
      <c r="D484" s="1100"/>
      <c r="E484" s="1100"/>
      <c r="F484" s="1100"/>
      <c r="G484" s="1100"/>
      <c r="H484" s="1100"/>
      <c r="I484" s="260"/>
      <c r="J484" s="260"/>
      <c r="K484" s="260"/>
      <c r="L484" s="260"/>
      <c r="M484" s="260"/>
      <c r="N484" s="260"/>
      <c r="O484" s="260"/>
      <c r="P484" s="665"/>
      <c r="Q484" s="236"/>
    </row>
    <row r="485" spans="1:17" ht="13.95" customHeight="1" x14ac:dyDescent="0.25">
      <c r="A485" s="166"/>
      <c r="B485" s="157"/>
      <c r="C485" s="1039" t="s">
        <v>867</v>
      </c>
      <c r="D485" s="1100"/>
      <c r="E485" s="1100"/>
      <c r="F485" s="1100"/>
      <c r="G485" s="1100"/>
      <c r="H485" s="1100"/>
      <c r="I485" s="260"/>
      <c r="J485" s="260"/>
      <c r="K485" s="260"/>
      <c r="L485" s="260"/>
      <c r="M485" s="260"/>
      <c r="N485" s="260"/>
      <c r="O485" s="260"/>
      <c r="P485" s="665"/>
      <c r="Q485" s="236"/>
    </row>
    <row r="486" spans="1:17" ht="13.95" customHeight="1" x14ac:dyDescent="0.25">
      <c r="A486" s="166"/>
      <c r="B486" s="667"/>
      <c r="C486" s="239"/>
      <c r="D486" s="239"/>
      <c r="E486" s="239"/>
      <c r="F486" s="239"/>
      <c r="G486" s="239"/>
      <c r="H486" s="239"/>
      <c r="I486" s="239"/>
      <c r="J486" s="239"/>
      <c r="K486" s="239"/>
      <c r="L486" s="239"/>
      <c r="M486" s="239"/>
      <c r="N486" s="239"/>
      <c r="O486" s="239"/>
      <c r="P486" s="668"/>
      <c r="Q486" s="236"/>
    </row>
    <row r="487" spans="1:17" ht="13.95" customHeight="1" x14ac:dyDescent="0.25">
      <c r="A487" s="166"/>
      <c r="B487" s="166"/>
      <c r="C487" s="166"/>
      <c r="D487" s="166"/>
      <c r="E487" s="166"/>
      <c r="F487" s="166"/>
      <c r="G487" s="166"/>
      <c r="H487" s="166"/>
      <c r="I487" s="166"/>
      <c r="J487" s="166"/>
      <c r="K487" s="166"/>
      <c r="L487" s="166"/>
      <c r="M487" s="166"/>
      <c r="N487" s="166"/>
      <c r="O487" s="166"/>
      <c r="P487" s="166"/>
      <c r="Q487" s="166"/>
    </row>
  </sheetData>
  <sheetProtection sheet="1" formatCells="0" formatColumns="0" formatRows="0" autoFilter="0"/>
  <mergeCells count="11">
    <mergeCell ref="T4:T16"/>
    <mergeCell ref="J18:K18"/>
    <mergeCell ref="M18:N18"/>
    <mergeCell ref="C9:H9"/>
    <mergeCell ref="J6:L6"/>
    <mergeCell ref="M7:N8"/>
    <mergeCell ref="J7:K8"/>
    <mergeCell ref="J9:K9"/>
    <mergeCell ref="M9:N9"/>
    <mergeCell ref="M6:O6"/>
    <mergeCell ref="C6:E6"/>
  </mergeCell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1">
    <tabColor rgb="FF7030A0"/>
  </sheetPr>
  <dimension ref="A1:AB384"/>
  <sheetViews>
    <sheetView showGridLines="0" zoomScale="80" zoomScaleNormal="80" workbookViewId="0">
      <pane ySplit="1" topLeftCell="A2" activePane="bottomLeft" state="frozen"/>
      <selection pane="bottomLeft" activeCell="A36" sqref="A36"/>
    </sheetView>
  </sheetViews>
  <sheetFormatPr defaultColWidth="9.1796875" defaultRowHeight="11.4" x14ac:dyDescent="0.2"/>
  <cols>
    <col min="1" max="1" width="16.54296875" style="122" customWidth="1"/>
    <col min="2" max="2" width="15.36328125" style="122" customWidth="1"/>
    <col min="3" max="3" width="17.6328125" style="122" customWidth="1"/>
    <col min="4" max="4" width="12.36328125" style="22" bestFit="1" customWidth="1"/>
    <col min="5" max="5" width="6" style="122" customWidth="1"/>
    <col min="6" max="6" width="17.08984375" style="122" customWidth="1"/>
    <col min="7" max="7" width="3.6328125" style="122" customWidth="1"/>
    <col min="8" max="8" width="9.26953125" style="22" customWidth="1"/>
    <col min="9" max="9" width="5.6328125" style="22" customWidth="1"/>
    <col min="10" max="10" width="12.6328125" style="1033" customWidth="1"/>
    <col min="11" max="11" width="15.54296875" style="25" customWidth="1"/>
    <col min="12" max="15" width="9.1796875" style="25"/>
    <col min="16" max="16" width="12.6328125" style="122" customWidth="1"/>
    <col min="17" max="17" width="13.7265625" style="25" bestFit="1" customWidth="1"/>
    <col min="18" max="18" width="20.81640625" style="25" customWidth="1"/>
    <col min="19" max="21" width="9.1796875" style="25"/>
    <col min="22" max="22" width="12.6328125" style="25" customWidth="1"/>
    <col min="23" max="23" width="8.6328125" style="25" customWidth="1"/>
    <col min="24" max="24" width="18.26953125" style="25" customWidth="1"/>
    <col min="25" max="25" width="6.6328125" style="121" customWidth="1"/>
    <col min="26" max="26" width="9.7265625" style="22" customWidth="1"/>
    <col min="27" max="27" width="9.36328125" style="121" customWidth="1"/>
    <col min="28" max="28" width="8.6328125" style="25" customWidth="1"/>
    <col min="29" max="16384" width="9.1796875" style="25"/>
  </cols>
  <sheetData>
    <row r="1" spans="1:28" s="2" customFormat="1" ht="75" thickBot="1" x14ac:dyDescent="0.3">
      <c r="A1" s="977" t="s">
        <v>29</v>
      </c>
      <c r="B1" s="977" t="s">
        <v>30</v>
      </c>
      <c r="C1" s="977" t="s">
        <v>31</v>
      </c>
      <c r="D1" s="978" t="s">
        <v>32</v>
      </c>
      <c r="E1" s="977" t="s">
        <v>33</v>
      </c>
      <c r="F1" s="977" t="s">
        <v>36</v>
      </c>
      <c r="G1" s="977" t="s">
        <v>37</v>
      </c>
      <c r="H1" s="978" t="s">
        <v>34</v>
      </c>
      <c r="I1" s="978" t="s">
        <v>35</v>
      </c>
      <c r="J1" s="1031"/>
      <c r="K1" s="94" t="s">
        <v>38</v>
      </c>
      <c r="L1" s="94">
        <v>1</v>
      </c>
      <c r="M1" s="94">
        <v>2</v>
      </c>
      <c r="N1" s="94">
        <v>3</v>
      </c>
      <c r="O1" s="94" t="s">
        <v>39</v>
      </c>
      <c r="P1" s="110"/>
      <c r="Q1" s="96" t="s">
        <v>29</v>
      </c>
      <c r="R1" s="97" t="s">
        <v>787</v>
      </c>
      <c r="S1" s="98" t="s">
        <v>788</v>
      </c>
      <c r="T1" s="98" t="s">
        <v>789</v>
      </c>
      <c r="U1" s="99" t="s">
        <v>790</v>
      </c>
      <c r="V1" s="95"/>
      <c r="W1" s="129" t="s">
        <v>446</v>
      </c>
      <c r="X1" s="129" t="s">
        <v>31</v>
      </c>
      <c r="Y1" s="99" t="s">
        <v>609</v>
      </c>
      <c r="Z1" s="99" t="s">
        <v>33</v>
      </c>
      <c r="AA1" s="99" t="s">
        <v>589</v>
      </c>
      <c r="AB1" s="129" t="s">
        <v>876</v>
      </c>
    </row>
    <row r="2" spans="1:28" s="23" customFormat="1" ht="15" customHeight="1" x14ac:dyDescent="0.2">
      <c r="A2" s="406" t="s">
        <v>59</v>
      </c>
      <c r="B2" s="406" t="s">
        <v>61</v>
      </c>
      <c r="C2" s="406" t="s">
        <v>150</v>
      </c>
      <c r="D2" s="973" t="s">
        <v>5</v>
      </c>
      <c r="E2" s="406">
        <v>1</v>
      </c>
      <c r="F2" s="100" t="str">
        <f t="shared" ref="F2:F74" si="0">CONCATENATE($B2,$E2)</f>
        <v>ACCESS-11</v>
      </c>
      <c r="G2" s="100">
        <f t="shared" ref="G2:G65" si="1">COUNTIF($F:$F,$F2)</f>
        <v>3</v>
      </c>
      <c r="H2" s="133">
        <f ca="1">INT(LEFT(
VLOOKUP($D2, INDIRECT("'"&amp;$A2&amp;"'!"&amp;"$D:$G"), 4,FALSE), 1)
)</f>
        <v>0</v>
      </c>
      <c r="I2" s="133">
        <f t="shared" ref="I2:I74" ca="1" si="2">IFERROR(IF(H2&gt;2,1,0),0)</f>
        <v>0</v>
      </c>
      <c r="J2" s="1032"/>
      <c r="K2" s="101" t="s">
        <v>59</v>
      </c>
      <c r="L2" s="710">
        <f ca="1">SUMIF($F:$F,CONCATENATE($K2,"-","?",L$1),$I:$I) /COUNTIF($F:$F,CONCATENATE($K2,"-","?",L$1))</f>
        <v>0</v>
      </c>
      <c r="M2" s="710">
        <f ca="1">SUMIF($F:$F,CONCATENATE($K2,"-","?",M$1),$I:$I) /COUNTIF($F:$F,CONCATENATE($K2,"-","?",M$1))</f>
        <v>0</v>
      </c>
      <c r="N2" s="710">
        <f ca="1">SUMIF($F:$F,CONCATENATE($K2,"-","?",N$1),$I:$I) /COUNTIF($F:$F,CONCATENATE($K2,"-","?",N$1))</f>
        <v>0</v>
      </c>
      <c r="O2" s="102">
        <f ca="1">MIN(O3:O5)</f>
        <v>0</v>
      </c>
      <c r="P2" s="110"/>
      <c r="Q2" s="104"/>
      <c r="R2" s="105"/>
      <c r="S2" s="95" t="str">
        <f>IF(VLOOKUP(S$1,Languages!$A:$D,1,TRUE)=S$1,VLOOKUP(S$1,Languages!$A:$D,Summary!$C$7,TRUE),NA())</f>
        <v>Kyberturvallisuuden kypsyystaso</v>
      </c>
      <c r="T2" s="95" t="str">
        <f>IF(VLOOKUP(T$1,Languages!$A:$D,1,TRUE)=T$1,VLOOKUP(T$1,Languages!$A:$D,Summary!$C$7,TRUE),NA())</f>
        <v>Nykytila</v>
      </c>
      <c r="U2" s="106" t="str">
        <f>IF(VLOOKUP(U$1,Languages!$A:$D,1,TRUE)=U$1,VLOOKUP(U$1,Languages!$A:$D,Summary!$C$7,TRUE),NA())</f>
        <v>Edellinen</v>
      </c>
      <c r="V2" s="92"/>
      <c r="W2" s="979" t="str">
        <f ca="1">AB2&amp;"-"&amp;COUNTIF($AB$2:$AB2,$AB2)</f>
        <v>0-1-0-1</v>
      </c>
      <c r="X2" s="980" t="s">
        <v>150</v>
      </c>
      <c r="Y2" s="981">
        <f t="shared" ref="Y2:Y33" ca="1" si="3">VLOOKUP(LEFT($X2,LEN($X2)-1),$K:$O,5,FALSE)</f>
        <v>0</v>
      </c>
      <c r="Z2" s="982">
        <v>1</v>
      </c>
      <c r="AA2" s="981">
        <f t="shared" ref="AA2:AA65" ca="1" si="4">VLOOKUP(X2,C:I,7,FALSE)</f>
        <v>0</v>
      </c>
      <c r="AB2" s="980" t="str">
        <f ca="1">Y2&amp;"-"&amp;Z2&amp;"-"&amp;AA2</f>
        <v>0-1-0</v>
      </c>
    </row>
    <row r="3" spans="1:28" s="2" customFormat="1" ht="15" customHeight="1" x14ac:dyDescent="0.2">
      <c r="A3" s="406" t="s">
        <v>59</v>
      </c>
      <c r="B3" s="406" t="s">
        <v>61</v>
      </c>
      <c r="C3" s="406" t="s">
        <v>152</v>
      </c>
      <c r="D3" s="973" t="s">
        <v>7</v>
      </c>
      <c r="E3" s="406">
        <v>1</v>
      </c>
      <c r="F3" s="100" t="str">
        <f t="shared" si="0"/>
        <v>ACCESS-11</v>
      </c>
      <c r="G3" s="100">
        <f t="shared" si="1"/>
        <v>3</v>
      </c>
      <c r="H3" s="133">
        <f t="shared" ref="H3:H75" ca="1" si="5">INT(LEFT(
VLOOKUP($D3, INDIRECT("'"&amp;$A3&amp;"'!"&amp;"$D:$G"), 4,FALSE), 1)
)</f>
        <v>0</v>
      </c>
      <c r="I3" s="133">
        <f t="shared" ca="1" si="2"/>
        <v>0</v>
      </c>
      <c r="J3" s="1031"/>
      <c r="K3" s="107" t="s">
        <v>61</v>
      </c>
      <c r="L3" s="21">
        <f t="shared" ref="L3:M5" ca="1" si="6">SUMIF($F:$F,CONCATENATE($K3,L$1),$I:$I) / VLOOKUP(CONCATENATE($K3,L$1),$F:$G,2,FALSE)</f>
        <v>0</v>
      </c>
      <c r="M3" s="21">
        <f t="shared" ca="1" si="6"/>
        <v>0</v>
      </c>
      <c r="N3" s="111">
        <v>1</v>
      </c>
      <c r="O3" s="108">
        <f ca="1">IF( AND($L3=1,$M3=1,$N3&gt;$O$61 ), 3,
    IF( AND($L3=1,$M3&gt;$O$61 ), 2,
      IF( $L3=1, 1, 0)
  )
) + N("MIL3 tarkistus 1. rivillä, MIL2 tarkistus 2. rivillä, ja lopuksi MIL1 tarkistus.")</f>
        <v>0</v>
      </c>
      <c r="P3" s="110"/>
      <c r="Q3" s="109" t="s">
        <v>56</v>
      </c>
      <c r="R3" s="128" t="str">
        <f>Parameters!B78</f>
        <v>Kriittiset
palvelut</v>
      </c>
      <c r="S3" s="103">
        <f ca="1">VLOOKUP($Q3,$K$1:$O$58,5,FALSE)</f>
        <v>0</v>
      </c>
      <c r="T3" s="95">
        <f>VLOOKUP(Data!$Q3,Table2[#All],2,FALSE)</f>
        <v>0</v>
      </c>
      <c r="U3" s="106">
        <f>VLOOKUP(Data!$Q3,Table4[#All],2,FALSE)</f>
        <v>0</v>
      </c>
      <c r="W3" s="983" t="str">
        <f ca="1">AB3&amp;"-"&amp;COUNTIF($AB$2:$AB3,$AB3)</f>
        <v>0-1-0-2</v>
      </c>
      <c r="X3" s="984" t="s">
        <v>152</v>
      </c>
      <c r="Y3" s="985">
        <f t="shared" ca="1" si="3"/>
        <v>0</v>
      </c>
      <c r="Z3" s="986">
        <v>1</v>
      </c>
      <c r="AA3" s="985">
        <f t="shared" ca="1" si="4"/>
        <v>0</v>
      </c>
      <c r="AB3" s="987" t="str">
        <f t="shared" ref="AB3:AB66" ca="1" si="7">Y3&amp;"-"&amp;Z3&amp;"-"&amp;AA3</f>
        <v>0-1-0</v>
      </c>
    </row>
    <row r="4" spans="1:28" s="2" customFormat="1" ht="15" customHeight="1" x14ac:dyDescent="0.2">
      <c r="A4" s="406" t="s">
        <v>59</v>
      </c>
      <c r="B4" s="406" t="s">
        <v>61</v>
      </c>
      <c r="C4" s="406" t="s">
        <v>153</v>
      </c>
      <c r="D4" s="973" t="s">
        <v>8</v>
      </c>
      <c r="E4" s="406">
        <v>1</v>
      </c>
      <c r="F4" s="100" t="str">
        <f t="shared" si="0"/>
        <v>ACCESS-11</v>
      </c>
      <c r="G4" s="100">
        <f t="shared" si="1"/>
        <v>3</v>
      </c>
      <c r="H4" s="133">
        <f t="shared" ca="1" si="5"/>
        <v>0</v>
      </c>
      <c r="I4" s="133">
        <f t="shared" ca="1" si="2"/>
        <v>0</v>
      </c>
      <c r="J4" s="1031"/>
      <c r="K4" s="107" t="s">
        <v>63</v>
      </c>
      <c r="L4" s="21">
        <f t="shared" ca="1" si="6"/>
        <v>0</v>
      </c>
      <c r="M4" s="21">
        <f t="shared" ca="1" si="6"/>
        <v>0</v>
      </c>
      <c r="N4" s="21">
        <f ca="1">SUMIF($F:$F,CONCATENATE($K4,N$1),$I:$I) / VLOOKUP(CONCATENATE($K4,N$1),$F:$G,2,FALSE)</f>
        <v>0</v>
      </c>
      <c r="O4" s="108">
        <f ca="1">IF( AND($L4=1,$M4=1,$N4&gt;$O$61 ), 3,
    IF( AND($L4=1,$M4&gt;$O$61 ), 2,
      IF( $L4=1, 1, 0)
  )
) + N("MIL3 tarkistus 1. rivillä, MIL2 tarkistus 2. rivillä, ja lopuksi MIL1 tarkistus.")</f>
        <v>0</v>
      </c>
      <c r="P4" s="110"/>
      <c r="Q4" s="109" t="s">
        <v>48</v>
      </c>
      <c r="R4" s="128" t="str">
        <f>Parameters!B79</f>
        <v>Omaisuuden
hallinta</v>
      </c>
      <c r="S4" s="103">
        <f t="shared" ref="S4:S13" ca="1" si="8">VLOOKUP($Q4,$K$1:$O$58,5,FALSE)</f>
        <v>0</v>
      </c>
      <c r="T4" s="95">
        <f>VLOOKUP(Data!$Q4,Table2[#All],2,FALSE)</f>
        <v>0</v>
      </c>
      <c r="U4" s="106">
        <f>VLOOKUP(Data!$Q4,Table4[#All],2,FALSE)</f>
        <v>0</v>
      </c>
      <c r="W4" s="983" t="str">
        <f ca="1">AB4&amp;"-"&amp;COUNTIF($AB$2:$AB4,$AB4)</f>
        <v>0-1-0-3</v>
      </c>
      <c r="X4" s="984" t="s">
        <v>153</v>
      </c>
      <c r="Y4" s="985">
        <f t="shared" ca="1" si="3"/>
        <v>0</v>
      </c>
      <c r="Z4" s="986">
        <v>1</v>
      </c>
      <c r="AA4" s="985">
        <f t="shared" ca="1" si="4"/>
        <v>0</v>
      </c>
      <c r="AB4" s="987" t="str">
        <f t="shared" ca="1" si="7"/>
        <v>0-1-0</v>
      </c>
    </row>
    <row r="5" spans="1:28" s="2" customFormat="1" ht="15" customHeight="1" x14ac:dyDescent="0.2">
      <c r="A5" s="406" t="s">
        <v>59</v>
      </c>
      <c r="B5" s="406" t="s">
        <v>61</v>
      </c>
      <c r="C5" s="406" t="s">
        <v>154</v>
      </c>
      <c r="D5" s="973" t="s">
        <v>9</v>
      </c>
      <c r="E5" s="406">
        <v>2</v>
      </c>
      <c r="F5" s="100" t="str">
        <f t="shared" si="0"/>
        <v>ACCESS-12</v>
      </c>
      <c r="G5" s="100">
        <f t="shared" si="1"/>
        <v>5</v>
      </c>
      <c r="H5" s="133">
        <f t="shared" ca="1" si="5"/>
        <v>0</v>
      </c>
      <c r="I5" s="133">
        <f t="shared" ca="1" si="2"/>
        <v>0</v>
      </c>
      <c r="J5" s="1031"/>
      <c r="K5" s="107" t="s">
        <v>66</v>
      </c>
      <c r="L5" s="21">
        <f t="shared" ca="1" si="6"/>
        <v>0</v>
      </c>
      <c r="M5" s="21">
        <f t="shared" ca="1" si="6"/>
        <v>0</v>
      </c>
      <c r="N5" s="21">
        <f ca="1">SUMIF($F:$F,CONCATENATE($K5,N$1),$I:$I) / VLOOKUP(CONCATENATE($K5,N$1),$F:$G,2,FALSE)</f>
        <v>0</v>
      </c>
      <c r="O5" s="108">
        <f ca="1">IF( AND($L5=1,$M5=1,$N5&gt;$O$61 ), 3,
    IF( AND($L5=1,$M5&gt;$O$61 ), 2,
      IF( $L5=1, 1, 0)
  )
) + N("MIL3 tarkistus 1. rivillä, MIL2 tarkistus 2. rivillä, ja lopuksi MIL1 tarkistus.")</f>
        <v>0</v>
      </c>
      <c r="P5" s="110"/>
      <c r="Q5" s="109" t="s">
        <v>64</v>
      </c>
      <c r="R5" s="128" t="str">
        <f>Parameters!B80</f>
        <v>Uhkat ja
haavoittuvuudet</v>
      </c>
      <c r="S5" s="103">
        <f t="shared" ca="1" si="8"/>
        <v>0</v>
      </c>
      <c r="T5" s="95">
        <f>VLOOKUP(Data!$Q5,Table2[#All],2,FALSE)</f>
        <v>0</v>
      </c>
      <c r="U5" s="106">
        <f>VLOOKUP(Data!$Q5,Table4[#All],2,FALSE)</f>
        <v>0</v>
      </c>
      <c r="W5" s="983" t="str">
        <f ca="1">AB5&amp;"-"&amp;COUNTIF($AB$2:$AB5,$AB5)</f>
        <v>0-2-0-1</v>
      </c>
      <c r="X5" s="984" t="s">
        <v>154</v>
      </c>
      <c r="Y5" s="985">
        <f t="shared" ca="1" si="3"/>
        <v>0</v>
      </c>
      <c r="Z5" s="986">
        <v>2</v>
      </c>
      <c r="AA5" s="985">
        <f t="shared" ca="1" si="4"/>
        <v>0</v>
      </c>
      <c r="AB5" s="987" t="str">
        <f t="shared" ca="1" si="7"/>
        <v>0-2-0</v>
      </c>
    </row>
    <row r="6" spans="1:28" s="2" customFormat="1" ht="15" customHeight="1" x14ac:dyDescent="0.2">
      <c r="A6" s="406" t="s">
        <v>59</v>
      </c>
      <c r="B6" s="406" t="s">
        <v>61</v>
      </c>
      <c r="C6" s="406" t="s">
        <v>155</v>
      </c>
      <c r="D6" s="973" t="s">
        <v>10</v>
      </c>
      <c r="E6" s="406">
        <v>2</v>
      </c>
      <c r="F6" s="100" t="str">
        <f t="shared" si="0"/>
        <v>ACCESS-12</v>
      </c>
      <c r="G6" s="100">
        <f t="shared" si="1"/>
        <v>5</v>
      </c>
      <c r="H6" s="133">
        <f t="shared" ca="1" si="5"/>
        <v>0</v>
      </c>
      <c r="I6" s="133">
        <f t="shared" ca="1" si="2"/>
        <v>0</v>
      </c>
      <c r="J6" s="1031"/>
      <c r="K6" s="107" t="s">
        <v>1017</v>
      </c>
      <c r="L6" s="111">
        <v>1</v>
      </c>
      <c r="M6" s="21">
        <f ca="1">SUMIF($F:$F,CONCATENATE($K6,M$1),$I:$I) / VLOOKUP(CONCATENATE($K6,M$1),$F:$G,2,FALSE)</f>
        <v>0</v>
      </c>
      <c r="N6" s="21">
        <f ca="1">SUMIF($F:$F,CONCATENATE($K6,N$1),$I:$I) / VLOOKUP(CONCATENATE($K6,N$1),$F:$G,2,FALSE)</f>
        <v>0</v>
      </c>
      <c r="O6" s="108">
        <f ca="1">IF( AND($L6=1,$M6=1,$N6&gt;$O$61 ), 3,
    IF( AND($L6=1,$M6&gt;$O$61 ), 2,
      IF( $L6=1, 1, 0)
  )
) + N("MIL3 tarkistus 1. rivillä, MIL2 tarkistus 2. rivillä, ja lopuksi MIL1 tarkistus.")</f>
        <v>1</v>
      </c>
      <c r="P6" s="549"/>
      <c r="Q6" s="109" t="s">
        <v>0</v>
      </c>
      <c r="R6" s="128" t="str">
        <f>Parameters!B81</f>
        <v>Riskien
hallinta</v>
      </c>
      <c r="S6" s="103">
        <f t="shared" ca="1" si="8"/>
        <v>0</v>
      </c>
      <c r="T6" s="95">
        <f>VLOOKUP(Data!$Q6,Table2[#All],2,FALSE)</f>
        <v>0</v>
      </c>
      <c r="U6" s="106">
        <f>VLOOKUP(Data!$Q6,Table4[#All],2,FALSE)</f>
        <v>0</v>
      </c>
      <c r="W6" s="983" t="str">
        <f ca="1">AB6&amp;"-"&amp;COUNTIF($AB$2:$AB6,$AB6)</f>
        <v>0-2-0-2</v>
      </c>
      <c r="X6" s="984" t="s">
        <v>155</v>
      </c>
      <c r="Y6" s="985">
        <f t="shared" ca="1" si="3"/>
        <v>0</v>
      </c>
      <c r="Z6" s="986">
        <v>2</v>
      </c>
      <c r="AA6" s="985">
        <f t="shared" ca="1" si="4"/>
        <v>0</v>
      </c>
      <c r="AB6" s="987" t="str">
        <f t="shared" ca="1" si="7"/>
        <v>0-2-0</v>
      </c>
    </row>
    <row r="7" spans="1:28" ht="15" customHeight="1" x14ac:dyDescent="0.2">
      <c r="A7" s="406" t="s">
        <v>59</v>
      </c>
      <c r="B7" s="406" t="s">
        <v>61</v>
      </c>
      <c r="C7" s="406" t="s">
        <v>156</v>
      </c>
      <c r="D7" s="973" t="s">
        <v>11</v>
      </c>
      <c r="E7" s="406">
        <v>2</v>
      </c>
      <c r="F7" s="100" t="str">
        <f t="shared" si="0"/>
        <v>ACCESS-12</v>
      </c>
      <c r="G7" s="100">
        <f t="shared" si="1"/>
        <v>5</v>
      </c>
      <c r="H7" s="133">
        <f t="shared" ca="1" si="5"/>
        <v>0</v>
      </c>
      <c r="I7" s="133">
        <f t="shared" ca="1" si="2"/>
        <v>0</v>
      </c>
      <c r="K7" s="101" t="s">
        <v>77</v>
      </c>
      <c r="L7" s="710">
        <f ca="1">SUMIF($F:$F,CONCATENATE($K7,"-","?",L$1),$I:$I) /COUNTIF($F:$F,CONCATENATE($K7,"-","?",L$1))</f>
        <v>0</v>
      </c>
      <c r="M7" s="710">
        <f ca="1">SUMIF($F:$F,CONCATENATE($K7,"-","?",M$1),$I:$I) /COUNTIF($F:$F,CONCATENATE($K7,"-","?",M$1))</f>
        <v>0</v>
      </c>
      <c r="N7" s="710">
        <f ca="1">SUMIF($F:$F,CONCATENATE($K7,"-","?",N$1),$I:$I) /COUNTIF($F:$F,CONCATENATE($K7,"-","?",N$1))</f>
        <v>0</v>
      </c>
      <c r="O7" s="102">
        <f ca="1">MIN(O8:O13)</f>
        <v>0</v>
      </c>
      <c r="P7" s="110"/>
      <c r="Q7" s="109" t="s">
        <v>59</v>
      </c>
      <c r="R7" s="128" t="str">
        <f>Parameters!B82</f>
        <v>Pääsyn
hallinta</v>
      </c>
      <c r="S7" s="103">
        <f t="shared" ca="1" si="8"/>
        <v>0</v>
      </c>
      <c r="T7" s="95">
        <f>VLOOKUP(Data!$Q7,Table2[#All],2,FALSE)</f>
        <v>0</v>
      </c>
      <c r="U7" s="106">
        <f>VLOOKUP(Data!$Q7,Table4[#All],2,FALSE)</f>
        <v>0</v>
      </c>
      <c r="W7" s="983" t="str">
        <f ca="1">AB7&amp;"-"&amp;COUNTIF($AB$2:$AB7,$AB7)</f>
        <v>0-2-0-3</v>
      </c>
      <c r="X7" s="983" t="s">
        <v>156</v>
      </c>
      <c r="Y7" s="985">
        <f t="shared" ca="1" si="3"/>
        <v>0</v>
      </c>
      <c r="Z7" s="988">
        <v>2</v>
      </c>
      <c r="AA7" s="985">
        <f t="shared" ca="1" si="4"/>
        <v>0</v>
      </c>
      <c r="AB7" s="987" t="str">
        <f t="shared" ca="1" si="7"/>
        <v>0-2-0</v>
      </c>
    </row>
    <row r="8" spans="1:28" ht="15" customHeight="1" x14ac:dyDescent="0.2">
      <c r="A8" s="406" t="s">
        <v>59</v>
      </c>
      <c r="B8" s="406" t="s">
        <v>61</v>
      </c>
      <c r="C8" s="406" t="s">
        <v>157</v>
      </c>
      <c r="D8" s="973" t="s">
        <v>12</v>
      </c>
      <c r="E8" s="406">
        <v>2</v>
      </c>
      <c r="F8" s="100" t="str">
        <f t="shared" si="0"/>
        <v>ACCESS-12</v>
      </c>
      <c r="G8" s="100">
        <f t="shared" si="1"/>
        <v>5</v>
      </c>
      <c r="H8" s="133">
        <f t="shared" ca="1" si="5"/>
        <v>0</v>
      </c>
      <c r="I8" s="133">
        <f t="shared" ca="1" si="2"/>
        <v>0</v>
      </c>
      <c r="K8" s="107" t="s">
        <v>115</v>
      </c>
      <c r="L8" s="21">
        <f t="shared" ref="L8:N10" ca="1" si="9">SUMIF($F:$F,CONCATENATE($K8,L$1),$I:$I) / VLOOKUP(CONCATENATE($K8,L$1),$F:$G,2,FALSE)</f>
        <v>0</v>
      </c>
      <c r="M8" s="21">
        <f t="shared" ca="1" si="9"/>
        <v>0</v>
      </c>
      <c r="N8" s="21">
        <f t="shared" ca="1" si="9"/>
        <v>0</v>
      </c>
      <c r="O8" s="108">
        <f t="shared" ref="O8:O13" ca="1" si="10">IF( AND($L8=1,$M8=1,$N8&gt;$O$61 ), 3,
    IF( AND($L8=1,$M8&gt;$O$61 ), 2,
      IF( $L8=1, 1, 0)
  )
) + N("MIL3 tarkistus 1. rivillä, MIL2 tarkistus 2. rivillä, ja lopuksi MIL1 tarkistus.")</f>
        <v>0</v>
      </c>
      <c r="P8" s="110"/>
      <c r="Q8" s="109" t="s">
        <v>67</v>
      </c>
      <c r="R8" s="128" t="str">
        <f>Parameters!B83</f>
        <v>Tilanne
kuva</v>
      </c>
      <c r="S8" s="103">
        <f t="shared" ca="1" si="8"/>
        <v>0</v>
      </c>
      <c r="T8" s="95">
        <f>VLOOKUP(Data!$Q8,Table2[#All],2,FALSE)</f>
        <v>0</v>
      </c>
      <c r="U8" s="106">
        <f>VLOOKUP(Data!$Q8,Table4[#All],2,FALSE)</f>
        <v>0</v>
      </c>
      <c r="W8" s="983" t="str">
        <f ca="1">AB8&amp;"-"&amp;COUNTIF($AB$2:$AB8,$AB8)</f>
        <v>0-2-0-4</v>
      </c>
      <c r="X8" s="983" t="s">
        <v>157</v>
      </c>
      <c r="Y8" s="985">
        <f t="shared" ca="1" si="3"/>
        <v>0</v>
      </c>
      <c r="Z8" s="988">
        <v>2</v>
      </c>
      <c r="AA8" s="985">
        <f t="shared" ca="1" si="4"/>
        <v>0</v>
      </c>
      <c r="AB8" s="987" t="str">
        <f t="shared" ca="1" si="7"/>
        <v>0-2-0</v>
      </c>
    </row>
    <row r="9" spans="1:28" ht="15" customHeight="1" x14ac:dyDescent="0.2">
      <c r="A9" s="406" t="s">
        <v>59</v>
      </c>
      <c r="B9" s="406" t="s">
        <v>61</v>
      </c>
      <c r="C9" s="406" t="s">
        <v>2606</v>
      </c>
      <c r="D9" s="973" t="s">
        <v>13</v>
      </c>
      <c r="E9" s="406">
        <v>2</v>
      </c>
      <c r="F9" s="100" t="str">
        <f t="shared" si="0"/>
        <v>ACCESS-12</v>
      </c>
      <c r="G9" s="100">
        <f t="shared" si="1"/>
        <v>5</v>
      </c>
      <c r="H9" s="133">
        <f t="shared" ca="1" si="5"/>
        <v>0</v>
      </c>
      <c r="I9" s="133">
        <f t="shared" ca="1" si="2"/>
        <v>0</v>
      </c>
      <c r="K9" s="107" t="s">
        <v>118</v>
      </c>
      <c r="L9" s="21">
        <f t="shared" ca="1" si="9"/>
        <v>0</v>
      </c>
      <c r="M9" s="21">
        <f t="shared" ca="1" si="9"/>
        <v>0</v>
      </c>
      <c r="N9" s="21">
        <f t="shared" ca="1" si="9"/>
        <v>0</v>
      </c>
      <c r="O9" s="108">
        <f t="shared" ca="1" si="10"/>
        <v>0</v>
      </c>
      <c r="P9" s="110"/>
      <c r="Q9" s="109" t="s">
        <v>69</v>
      </c>
      <c r="R9" s="128" t="str">
        <f>Parameters!B84</f>
        <v>Tapahtumat
ja häiriöt</v>
      </c>
      <c r="S9" s="103">
        <f t="shared" ca="1" si="8"/>
        <v>0</v>
      </c>
      <c r="T9" s="95">
        <f>VLOOKUP(Data!$Q9,Table2[#All],2,FALSE)</f>
        <v>0</v>
      </c>
      <c r="U9" s="106">
        <f>VLOOKUP(Data!$Q9,Table4[#All],2,FALSE)</f>
        <v>0</v>
      </c>
      <c r="W9" s="983" t="str">
        <f ca="1">AB9&amp;"-"&amp;COUNTIF($AB$2:$AB9,$AB9)</f>
        <v>0-2-0-5</v>
      </c>
      <c r="X9" s="983" t="s">
        <v>2606</v>
      </c>
      <c r="Y9" s="985">
        <f t="shared" ca="1" si="3"/>
        <v>0</v>
      </c>
      <c r="Z9" s="988">
        <v>2</v>
      </c>
      <c r="AA9" s="985">
        <f t="shared" ca="1" si="4"/>
        <v>0</v>
      </c>
      <c r="AB9" s="987" t="str">
        <f t="shared" ca="1" si="7"/>
        <v>0-2-0</v>
      </c>
    </row>
    <row r="10" spans="1:28" ht="15" customHeight="1" x14ac:dyDescent="0.2">
      <c r="A10" s="406" t="s">
        <v>59</v>
      </c>
      <c r="B10" s="406" t="s">
        <v>61</v>
      </c>
      <c r="C10" s="406" t="s">
        <v>2607</v>
      </c>
      <c r="D10" s="973" t="s">
        <v>14</v>
      </c>
      <c r="E10" s="406">
        <v>3</v>
      </c>
      <c r="F10" s="100" t="str">
        <f t="shared" si="0"/>
        <v>ACCESS-13</v>
      </c>
      <c r="G10" s="100">
        <f t="shared" si="1"/>
        <v>2</v>
      </c>
      <c r="H10" s="133">
        <f t="shared" ca="1" si="5"/>
        <v>0</v>
      </c>
      <c r="I10" s="133">
        <f t="shared" ca="1" si="2"/>
        <v>0</v>
      </c>
      <c r="K10" s="107" t="s">
        <v>121</v>
      </c>
      <c r="L10" s="21">
        <f t="shared" ca="1" si="9"/>
        <v>0</v>
      </c>
      <c r="M10" s="21">
        <f t="shared" ca="1" si="9"/>
        <v>0</v>
      </c>
      <c r="N10" s="21">
        <f t="shared" ca="1" si="9"/>
        <v>0</v>
      </c>
      <c r="O10" s="108">
        <f t="shared" ca="1" si="10"/>
        <v>0</v>
      </c>
      <c r="P10" s="110"/>
      <c r="Q10" s="109" t="s">
        <v>2619</v>
      </c>
      <c r="R10" s="128" t="str">
        <f>Parameters!B85</f>
        <v>Kolmannet
osapuolet</v>
      </c>
      <c r="S10" s="103">
        <f t="shared" ca="1" si="8"/>
        <v>0</v>
      </c>
      <c r="T10" s="95">
        <f>VLOOKUP(Data!$Q10,Table2[#All],2,FALSE)</f>
        <v>0</v>
      </c>
      <c r="U10" s="106">
        <f>VLOOKUP(Data!$Q10,Table4[#All],2,FALSE)</f>
        <v>0</v>
      </c>
      <c r="W10" s="983" t="str">
        <f ca="1">AB10&amp;"-"&amp;COUNTIF($AB$2:$AB10,$AB10)</f>
        <v>0-3-0-1</v>
      </c>
      <c r="X10" s="983" t="s">
        <v>2607</v>
      </c>
      <c r="Y10" s="985">
        <f t="shared" ca="1" si="3"/>
        <v>0</v>
      </c>
      <c r="Z10" s="988">
        <v>3</v>
      </c>
      <c r="AA10" s="985">
        <f t="shared" ca="1" si="4"/>
        <v>0</v>
      </c>
      <c r="AB10" s="987" t="str">
        <f t="shared" ca="1" si="7"/>
        <v>0-3-0</v>
      </c>
    </row>
    <row r="11" spans="1:28" ht="15" customHeight="1" x14ac:dyDescent="0.2">
      <c r="A11" s="406" t="s">
        <v>59</v>
      </c>
      <c r="B11" s="406" t="s">
        <v>61</v>
      </c>
      <c r="C11" s="406" t="s">
        <v>2608</v>
      </c>
      <c r="D11" s="973" t="s">
        <v>15</v>
      </c>
      <c r="E11" s="406">
        <v>3</v>
      </c>
      <c r="F11" s="100" t="str">
        <f t="shared" si="0"/>
        <v>ACCESS-13</v>
      </c>
      <c r="G11" s="100">
        <f t="shared" si="1"/>
        <v>2</v>
      </c>
      <c r="H11" s="133">
        <f t="shared" ca="1" si="5"/>
        <v>0</v>
      </c>
      <c r="I11" s="133">
        <f t="shared" ca="1" si="2"/>
        <v>0</v>
      </c>
      <c r="K11" s="107" t="s">
        <v>124</v>
      </c>
      <c r="L11" s="111">
        <v>1</v>
      </c>
      <c r="M11" s="21">
        <f t="shared" ref="M11:N13" ca="1" si="11">SUMIF($F:$F,CONCATENATE($K11,M$1),$I:$I) / VLOOKUP(CONCATENATE($K11,M$1),$F:$G,2,FALSE)</f>
        <v>0</v>
      </c>
      <c r="N11" s="21">
        <f t="shared" ca="1" si="11"/>
        <v>0</v>
      </c>
      <c r="O11" s="108">
        <f t="shared" ca="1" si="10"/>
        <v>1</v>
      </c>
      <c r="P11" s="110"/>
      <c r="Q11" s="109" t="s">
        <v>74</v>
      </c>
      <c r="R11" s="128" t="str">
        <f>Parameters!B86</f>
        <v>Henkilöstön
hallinta</v>
      </c>
      <c r="S11" s="103">
        <f t="shared" ca="1" si="8"/>
        <v>0</v>
      </c>
      <c r="T11" s="95">
        <f>VLOOKUP(Data!$Q11,Table2[#All],2,FALSE)</f>
        <v>0</v>
      </c>
      <c r="U11" s="106">
        <f>VLOOKUP(Data!$Q11,Table4[#All],2,FALSE)</f>
        <v>0</v>
      </c>
      <c r="W11" s="983" t="str">
        <f ca="1">AB11&amp;"-"&amp;COUNTIF($AB$2:$AB11,$AB11)</f>
        <v>0-3-0-2</v>
      </c>
      <c r="X11" s="983" t="s">
        <v>2608</v>
      </c>
      <c r="Y11" s="985">
        <f t="shared" ca="1" si="3"/>
        <v>0</v>
      </c>
      <c r="Z11" s="988">
        <v>3</v>
      </c>
      <c r="AA11" s="985">
        <f t="shared" ca="1" si="4"/>
        <v>0</v>
      </c>
      <c r="AB11" s="987" t="str">
        <f t="shared" ca="1" si="7"/>
        <v>0-3-0</v>
      </c>
    </row>
    <row r="12" spans="1:28" ht="15" customHeight="1" x14ac:dyDescent="0.2">
      <c r="A12" s="406" t="s">
        <v>59</v>
      </c>
      <c r="B12" s="406" t="s">
        <v>63</v>
      </c>
      <c r="C12" s="406" t="s">
        <v>158</v>
      </c>
      <c r="D12" s="973" t="s">
        <v>17</v>
      </c>
      <c r="E12" s="406">
        <v>1</v>
      </c>
      <c r="F12" s="100" t="str">
        <f t="shared" si="0"/>
        <v>ACCESS-21</v>
      </c>
      <c r="G12" s="100">
        <f t="shared" si="1"/>
        <v>2</v>
      </c>
      <c r="H12" s="133">
        <f t="shared" ca="1" si="5"/>
        <v>0</v>
      </c>
      <c r="I12" s="133">
        <f t="shared" ca="1" si="2"/>
        <v>0</v>
      </c>
      <c r="K12" s="107" t="s">
        <v>127</v>
      </c>
      <c r="L12" s="21">
        <f ca="1">SUMIF($F:$F,CONCATENATE($K12,L$1),$I:$I) / VLOOKUP(CONCATENATE($K12,L$1),$F:$G,2,FALSE)</f>
        <v>0</v>
      </c>
      <c r="M12" s="21">
        <f t="shared" ca="1" si="11"/>
        <v>0</v>
      </c>
      <c r="N12" s="21">
        <f t="shared" ca="1" si="11"/>
        <v>0</v>
      </c>
      <c r="O12" s="108">
        <f t="shared" ca="1" si="10"/>
        <v>0</v>
      </c>
      <c r="P12" s="110"/>
      <c r="Q12" s="109" t="s">
        <v>77</v>
      </c>
      <c r="R12" s="128" t="str">
        <f>Parameters!B87</f>
        <v>Kyber
arkkitehtuuri</v>
      </c>
      <c r="S12" s="103">
        <f t="shared" ca="1" si="8"/>
        <v>0</v>
      </c>
      <c r="T12" s="95">
        <f>VLOOKUP(Data!$Q12,Table2[#All],2,FALSE)</f>
        <v>0</v>
      </c>
      <c r="U12" s="106">
        <f>VLOOKUP(Data!$Q12,Table4[#All],2,FALSE)</f>
        <v>0</v>
      </c>
      <c r="W12" s="983" t="str">
        <f ca="1">AB12&amp;"-"&amp;COUNTIF($AB$2:$AB12,$AB12)</f>
        <v>0-1-0-4</v>
      </c>
      <c r="X12" s="983" t="s">
        <v>158</v>
      </c>
      <c r="Y12" s="985">
        <f t="shared" ca="1" si="3"/>
        <v>0</v>
      </c>
      <c r="Z12" s="988">
        <v>1</v>
      </c>
      <c r="AA12" s="985">
        <f t="shared" ca="1" si="4"/>
        <v>0</v>
      </c>
      <c r="AB12" s="987" t="str">
        <f t="shared" ca="1" si="7"/>
        <v>0-1-0</v>
      </c>
    </row>
    <row r="13" spans="1:28" ht="15" customHeight="1" x14ac:dyDescent="0.2">
      <c r="A13" s="406" t="s">
        <v>59</v>
      </c>
      <c r="B13" s="406" t="s">
        <v>63</v>
      </c>
      <c r="C13" s="406" t="s">
        <v>159</v>
      </c>
      <c r="D13" s="973" t="s">
        <v>18</v>
      </c>
      <c r="E13" s="406">
        <v>1</v>
      </c>
      <c r="F13" s="100" t="str">
        <f t="shared" si="0"/>
        <v>ACCESS-21</v>
      </c>
      <c r="G13" s="100">
        <f t="shared" si="1"/>
        <v>2</v>
      </c>
      <c r="H13" s="133">
        <f t="shared" ca="1" si="5"/>
        <v>0</v>
      </c>
      <c r="I13" s="133">
        <f t="shared" ca="1" si="2"/>
        <v>0</v>
      </c>
      <c r="K13" s="107" t="s">
        <v>1027</v>
      </c>
      <c r="L13" s="111">
        <v>1</v>
      </c>
      <c r="M13" s="21">
        <f t="shared" ca="1" si="11"/>
        <v>0</v>
      </c>
      <c r="N13" s="21">
        <f t="shared" ca="1" si="11"/>
        <v>0</v>
      </c>
      <c r="O13" s="108">
        <f t="shared" ca="1" si="10"/>
        <v>1</v>
      </c>
      <c r="P13" s="110"/>
      <c r="Q13" s="112" t="s">
        <v>79</v>
      </c>
      <c r="R13" s="128" t="str">
        <f>Parameters!B88</f>
        <v>Kyberturv.
hallinta</v>
      </c>
      <c r="S13" s="113">
        <f t="shared" ca="1" si="8"/>
        <v>0</v>
      </c>
      <c r="T13" s="114">
        <f>VLOOKUP(Data!$Q13,Table2[#All],2,FALSE)</f>
        <v>0</v>
      </c>
      <c r="U13" s="115">
        <f>VLOOKUP(Data!$Q13,Table4[#All],2,FALSE)</f>
        <v>0</v>
      </c>
      <c r="W13" s="983" t="str">
        <f ca="1">AB13&amp;"-"&amp;COUNTIF($AB$2:$AB13,$AB13)</f>
        <v>0-1-0-5</v>
      </c>
      <c r="X13" s="983" t="s">
        <v>159</v>
      </c>
      <c r="Y13" s="985">
        <f t="shared" ca="1" si="3"/>
        <v>0</v>
      </c>
      <c r="Z13" s="988">
        <v>1</v>
      </c>
      <c r="AA13" s="985">
        <f t="shared" ca="1" si="4"/>
        <v>0</v>
      </c>
      <c r="AB13" s="987" t="str">
        <f t="shared" ca="1" si="7"/>
        <v>0-1-0</v>
      </c>
    </row>
    <row r="14" spans="1:28" ht="15" customHeight="1" thickBot="1" x14ac:dyDescent="0.25">
      <c r="A14" s="406" t="s">
        <v>59</v>
      </c>
      <c r="B14" s="406" t="s">
        <v>63</v>
      </c>
      <c r="C14" s="406" t="s">
        <v>160</v>
      </c>
      <c r="D14" s="973" t="s">
        <v>19</v>
      </c>
      <c r="E14" s="406">
        <v>2</v>
      </c>
      <c r="F14" s="100" t="str">
        <f t="shared" si="0"/>
        <v>ACCESS-22</v>
      </c>
      <c r="G14" s="100">
        <f t="shared" si="1"/>
        <v>5</v>
      </c>
      <c r="H14" s="133">
        <f t="shared" ca="1" si="5"/>
        <v>0</v>
      </c>
      <c r="I14" s="133">
        <f t="shared" ca="1" si="2"/>
        <v>0</v>
      </c>
      <c r="K14" s="101" t="s">
        <v>48</v>
      </c>
      <c r="L14" s="710">
        <f ca="1">SUMIF($F:$F,CONCATENATE($K14,"-","?",L$1),$I:$I) /COUNTIF($F:$F,CONCATENATE($K14,"-","?",L$1))</f>
        <v>0</v>
      </c>
      <c r="M14" s="710">
        <f ca="1">SUMIF($F:$F,CONCATENATE($K14,"-","?",M$1),$I:$I) /COUNTIF($F:$F,CONCATENATE($K14,"-","?",M$1))</f>
        <v>0</v>
      </c>
      <c r="N14" s="710">
        <f ca="1">SUMIF($F:$F,CONCATENATE($K14,"-","?",N$1),$I:$I) /COUNTIF($F:$F,CONCATENATE($K14,"-","?",N$1))</f>
        <v>0</v>
      </c>
      <c r="O14" s="102">
        <f ca="1">MIN(O15:O19)</f>
        <v>0</v>
      </c>
      <c r="P14" s="110"/>
      <c r="Q14" s="95"/>
      <c r="R14" s="95"/>
      <c r="S14" s="95"/>
      <c r="T14" s="95"/>
      <c r="U14" s="95"/>
      <c r="V14" s="95"/>
      <c r="W14" s="983" t="str">
        <f ca="1">AB14&amp;"-"&amp;COUNTIF($AB$2:$AB14,$AB14)</f>
        <v>0-2-0-6</v>
      </c>
      <c r="X14" s="983" t="s">
        <v>160</v>
      </c>
      <c r="Y14" s="985">
        <f t="shared" ca="1" si="3"/>
        <v>0</v>
      </c>
      <c r="Z14" s="988">
        <v>2</v>
      </c>
      <c r="AA14" s="985">
        <f t="shared" ca="1" si="4"/>
        <v>0</v>
      </c>
      <c r="AB14" s="987" t="str">
        <f t="shared" ca="1" si="7"/>
        <v>0-2-0</v>
      </c>
    </row>
    <row r="15" spans="1:28" ht="15" customHeight="1" thickBot="1" x14ac:dyDescent="0.25">
      <c r="A15" s="406" t="s">
        <v>59</v>
      </c>
      <c r="B15" s="406" t="s">
        <v>63</v>
      </c>
      <c r="C15" s="406" t="s">
        <v>161</v>
      </c>
      <c r="D15" s="973" t="s">
        <v>20</v>
      </c>
      <c r="E15" s="406">
        <v>2</v>
      </c>
      <c r="F15" s="100" t="str">
        <f t="shared" si="0"/>
        <v>ACCESS-22</v>
      </c>
      <c r="G15" s="100">
        <f t="shared" si="1"/>
        <v>5</v>
      </c>
      <c r="H15" s="133">
        <f t="shared" ca="1" si="5"/>
        <v>0</v>
      </c>
      <c r="I15" s="133">
        <f t="shared" ca="1" si="2"/>
        <v>0</v>
      </c>
      <c r="K15" s="107" t="s">
        <v>50</v>
      </c>
      <c r="L15" s="21">
        <f t="shared" ref="L15:N18" ca="1" si="12">SUMIF($F:$F,CONCATENATE($K15,L$1),$I:$I) / VLOOKUP(CONCATENATE($K15,L$1),$F:$G,2,FALSE)</f>
        <v>0</v>
      </c>
      <c r="M15" s="21">
        <f t="shared" ca="1" si="12"/>
        <v>0</v>
      </c>
      <c r="N15" s="21">
        <f t="shared" ca="1" si="12"/>
        <v>0</v>
      </c>
      <c r="O15" s="108">
        <f t="shared" ref="O15:O58" ca="1" si="13">IF( AND($L15=1,$M15=1,$N15&gt;$O$61 ), 3,
    IF( AND($L15=1,$M15&gt;$O$61 ), 2,
      IF( $L15=1, 1, 0)
  )
) + N("MIL3 tarkistus 1. rivillä, MIL2 tarkistus 2. rivillä, ja lopuksi MIL1 tarkistus.")</f>
        <v>0</v>
      </c>
      <c r="P15" s="110"/>
      <c r="Q15" s="116" t="s">
        <v>796</v>
      </c>
      <c r="R15" s="117" t="s">
        <v>797</v>
      </c>
      <c r="S15" s="98" t="s">
        <v>798</v>
      </c>
      <c r="T15" s="98" t="s">
        <v>799</v>
      </c>
      <c r="U15" s="99" t="s">
        <v>800</v>
      </c>
      <c r="V15" s="95"/>
      <c r="W15" s="983" t="str">
        <f ca="1">AB15&amp;"-"&amp;COUNTIF($AB$2:$AB15,$AB15)</f>
        <v>0-2-0-7</v>
      </c>
      <c r="X15" s="983" t="s">
        <v>161</v>
      </c>
      <c r="Y15" s="985">
        <f t="shared" ca="1" si="3"/>
        <v>0</v>
      </c>
      <c r="Z15" s="988">
        <v>2</v>
      </c>
      <c r="AA15" s="985">
        <f t="shared" ca="1" si="4"/>
        <v>0</v>
      </c>
      <c r="AB15" s="987" t="str">
        <f t="shared" ca="1" si="7"/>
        <v>0-2-0</v>
      </c>
    </row>
    <row r="16" spans="1:28" ht="15" customHeight="1" x14ac:dyDescent="0.2">
      <c r="A16" s="406" t="s">
        <v>59</v>
      </c>
      <c r="B16" s="406" t="s">
        <v>63</v>
      </c>
      <c r="C16" s="406" t="s">
        <v>162</v>
      </c>
      <c r="D16" s="973" t="s">
        <v>21</v>
      </c>
      <c r="E16" s="406">
        <v>2</v>
      </c>
      <c r="F16" s="100" t="str">
        <f t="shared" si="0"/>
        <v>ACCESS-22</v>
      </c>
      <c r="G16" s="100">
        <f t="shared" si="1"/>
        <v>5</v>
      </c>
      <c r="H16" s="133">
        <f t="shared" ca="1" si="5"/>
        <v>0</v>
      </c>
      <c r="I16" s="133">
        <f t="shared" ca="1" si="2"/>
        <v>0</v>
      </c>
      <c r="K16" s="107" t="s">
        <v>52</v>
      </c>
      <c r="L16" s="21">
        <f t="shared" ca="1" si="12"/>
        <v>0</v>
      </c>
      <c r="M16" s="21">
        <f t="shared" ca="1" si="12"/>
        <v>0</v>
      </c>
      <c r="N16" s="21">
        <f t="shared" ca="1" si="12"/>
        <v>0</v>
      </c>
      <c r="O16" s="108">
        <f t="shared" ca="1" si="13"/>
        <v>0</v>
      </c>
      <c r="P16" s="110"/>
      <c r="Q16" s="95"/>
      <c r="R16" s="118">
        <v>0.8</v>
      </c>
      <c r="S16" s="95">
        <v>1</v>
      </c>
      <c r="T16" s="95">
        <v>1</v>
      </c>
      <c r="U16" s="106">
        <v>0.5</v>
      </c>
      <c r="V16" s="95"/>
      <c r="W16" s="983" t="str">
        <f ca="1">AB16&amp;"-"&amp;COUNTIF($AB$2:$AB16,$AB16)</f>
        <v>0-2-0-8</v>
      </c>
      <c r="X16" s="983" t="s">
        <v>162</v>
      </c>
      <c r="Y16" s="985">
        <f t="shared" ca="1" si="3"/>
        <v>0</v>
      </c>
      <c r="Z16" s="988">
        <v>2</v>
      </c>
      <c r="AA16" s="985">
        <f t="shared" ca="1" si="4"/>
        <v>0</v>
      </c>
      <c r="AB16" s="987" t="str">
        <f t="shared" ca="1" si="7"/>
        <v>0-2-0</v>
      </c>
    </row>
    <row r="17" spans="1:28" ht="15" customHeight="1" x14ac:dyDescent="0.2">
      <c r="A17" s="406" t="s">
        <v>59</v>
      </c>
      <c r="B17" s="406" t="s">
        <v>63</v>
      </c>
      <c r="C17" s="406" t="s">
        <v>163</v>
      </c>
      <c r="D17" s="973" t="s">
        <v>103</v>
      </c>
      <c r="E17" s="406">
        <v>2</v>
      </c>
      <c r="F17" s="100" t="str">
        <f t="shared" si="0"/>
        <v>ACCESS-22</v>
      </c>
      <c r="G17" s="100">
        <f t="shared" si="1"/>
        <v>5</v>
      </c>
      <c r="H17" s="133">
        <f t="shared" ca="1" si="5"/>
        <v>0</v>
      </c>
      <c r="I17" s="133">
        <f t="shared" ca="1" si="2"/>
        <v>0</v>
      </c>
      <c r="K17" s="107" t="s">
        <v>54</v>
      </c>
      <c r="L17" s="21">
        <f t="shared" ca="1" si="12"/>
        <v>0</v>
      </c>
      <c r="M17" s="21">
        <f t="shared" ca="1" si="12"/>
        <v>0</v>
      </c>
      <c r="N17" s="21">
        <f t="shared" ca="1" si="12"/>
        <v>0</v>
      </c>
      <c r="O17" s="108">
        <f t="shared" ca="1" si="13"/>
        <v>0</v>
      </c>
      <c r="P17" s="110"/>
      <c r="Q17" s="95"/>
      <c r="R17" s="118">
        <v>0.8</v>
      </c>
      <c r="S17" s="95">
        <v>1</v>
      </c>
      <c r="T17" s="95">
        <v>1</v>
      </c>
      <c r="U17" s="106">
        <v>0.5</v>
      </c>
      <c r="V17" s="95"/>
      <c r="W17" s="983" t="str">
        <f ca="1">AB17&amp;"-"&amp;COUNTIF($AB$2:$AB17,$AB17)</f>
        <v>0-2-0-9</v>
      </c>
      <c r="X17" s="983" t="s">
        <v>163</v>
      </c>
      <c r="Y17" s="985">
        <f t="shared" ca="1" si="3"/>
        <v>0</v>
      </c>
      <c r="Z17" s="988">
        <v>2</v>
      </c>
      <c r="AA17" s="985">
        <f t="shared" ca="1" si="4"/>
        <v>0</v>
      </c>
      <c r="AB17" s="987" t="str">
        <f t="shared" ca="1" si="7"/>
        <v>0-2-0</v>
      </c>
    </row>
    <row r="18" spans="1:28" ht="15" customHeight="1" x14ac:dyDescent="0.2">
      <c r="A18" s="406" t="s">
        <v>59</v>
      </c>
      <c r="B18" s="406" t="s">
        <v>63</v>
      </c>
      <c r="C18" s="406" t="s">
        <v>164</v>
      </c>
      <c r="D18" s="973" t="s">
        <v>165</v>
      </c>
      <c r="E18" s="406">
        <v>2</v>
      </c>
      <c r="F18" s="100" t="str">
        <f t="shared" si="0"/>
        <v>ACCESS-22</v>
      </c>
      <c r="G18" s="100">
        <f t="shared" si="1"/>
        <v>5</v>
      </c>
      <c r="H18" s="133">
        <f t="shared" ca="1" si="5"/>
        <v>0</v>
      </c>
      <c r="I18" s="133">
        <f t="shared" ca="1" si="2"/>
        <v>0</v>
      </c>
      <c r="K18" s="107" t="s">
        <v>55</v>
      </c>
      <c r="L18" s="21">
        <f t="shared" ca="1" si="12"/>
        <v>0</v>
      </c>
      <c r="M18" s="21">
        <f t="shared" ca="1" si="12"/>
        <v>0</v>
      </c>
      <c r="N18" s="21">
        <f t="shared" ca="1" si="12"/>
        <v>0</v>
      </c>
      <c r="O18" s="108">
        <f t="shared" ca="1" si="13"/>
        <v>0</v>
      </c>
      <c r="P18" s="128"/>
      <c r="Q18" s="103"/>
      <c r="R18" s="118">
        <v>0.8</v>
      </c>
      <c r="S18" s="95">
        <v>1</v>
      </c>
      <c r="T18" s="95">
        <v>1</v>
      </c>
      <c r="U18" s="106">
        <v>0.5</v>
      </c>
      <c r="V18" s="103"/>
      <c r="W18" s="983" t="str">
        <f ca="1">AB18&amp;"-"&amp;COUNTIF($AB$2:$AB18,$AB18)</f>
        <v>0-2-0-10</v>
      </c>
      <c r="X18" s="983" t="s">
        <v>164</v>
      </c>
      <c r="Y18" s="985">
        <f t="shared" ca="1" si="3"/>
        <v>0</v>
      </c>
      <c r="Z18" s="988">
        <v>2</v>
      </c>
      <c r="AA18" s="985">
        <f t="shared" ca="1" si="4"/>
        <v>0</v>
      </c>
      <c r="AB18" s="987" t="str">
        <f t="shared" ca="1" si="7"/>
        <v>0-2-0</v>
      </c>
    </row>
    <row r="19" spans="1:28" ht="15" customHeight="1" x14ac:dyDescent="0.2">
      <c r="A19" s="406" t="s">
        <v>59</v>
      </c>
      <c r="B19" s="406" t="s">
        <v>63</v>
      </c>
      <c r="C19" s="406" t="s">
        <v>166</v>
      </c>
      <c r="D19" s="973" t="s">
        <v>167</v>
      </c>
      <c r="E19" s="406">
        <v>3</v>
      </c>
      <c r="F19" s="100" t="str">
        <f t="shared" si="0"/>
        <v>ACCESS-23</v>
      </c>
      <c r="G19" s="100">
        <f t="shared" si="1"/>
        <v>2</v>
      </c>
      <c r="H19" s="133">
        <f t="shared" ca="1" si="5"/>
        <v>0</v>
      </c>
      <c r="I19" s="133">
        <f t="shared" ca="1" si="2"/>
        <v>0</v>
      </c>
      <c r="K19" s="107" t="s">
        <v>57</v>
      </c>
      <c r="L19" s="111">
        <v>1</v>
      </c>
      <c r="M19" s="21">
        <f ca="1">SUMIF($F:$F,CONCATENATE($K19,M$1),$I:$I) / VLOOKUP(CONCATENATE($K19,M$1),$F:$G,2,FALSE)</f>
        <v>0</v>
      </c>
      <c r="N19" s="21">
        <f ca="1">SUMIF($F:$F,CONCATENATE($K19,N$1),$I:$I) / VLOOKUP(CONCATENATE($K19,N$1),$F:$G,2,FALSE)</f>
        <v>0</v>
      </c>
      <c r="O19" s="108">
        <f t="shared" ca="1" si="13"/>
        <v>1</v>
      </c>
      <c r="P19" s="110"/>
      <c r="Q19" s="95"/>
      <c r="R19" s="118">
        <v>0.8</v>
      </c>
      <c r="S19" s="95">
        <v>1</v>
      </c>
      <c r="T19" s="95">
        <v>1</v>
      </c>
      <c r="U19" s="106">
        <v>0.5</v>
      </c>
      <c r="V19" s="95"/>
      <c r="W19" s="983" t="str">
        <f ca="1">AB19&amp;"-"&amp;COUNTIF($AB$2:$AB19,$AB19)</f>
        <v>0-3-0-3</v>
      </c>
      <c r="X19" s="983" t="s">
        <v>166</v>
      </c>
      <c r="Y19" s="985">
        <f t="shared" ca="1" si="3"/>
        <v>0</v>
      </c>
      <c r="Z19" s="988">
        <v>3</v>
      </c>
      <c r="AA19" s="985">
        <f t="shared" ca="1" si="4"/>
        <v>0</v>
      </c>
      <c r="AB19" s="987" t="str">
        <f t="shared" ca="1" si="7"/>
        <v>0-3-0</v>
      </c>
    </row>
    <row r="20" spans="1:28" ht="15" customHeight="1" x14ac:dyDescent="0.2">
      <c r="A20" s="406" t="s">
        <v>59</v>
      </c>
      <c r="B20" s="406" t="s">
        <v>63</v>
      </c>
      <c r="C20" s="406" t="s">
        <v>964</v>
      </c>
      <c r="D20" s="973" t="s">
        <v>198</v>
      </c>
      <c r="E20" s="406">
        <v>3</v>
      </c>
      <c r="F20" s="100" t="str">
        <f t="shared" si="0"/>
        <v>ACCESS-23</v>
      </c>
      <c r="G20" s="100">
        <f t="shared" si="1"/>
        <v>2</v>
      </c>
      <c r="H20" s="133">
        <f t="shared" ca="1" si="5"/>
        <v>0</v>
      </c>
      <c r="I20" s="133">
        <f t="shared" ca="1" si="2"/>
        <v>0</v>
      </c>
      <c r="K20" s="101" t="s">
        <v>56</v>
      </c>
      <c r="L20" s="710">
        <f ca="1">SUMIF($F:$F,CONCATENATE($K20,"-","?",L$1),$I:$I) /COUNTIF($F:$F,CONCATENATE($K20,"-","?",L$1))</f>
        <v>0</v>
      </c>
      <c r="M20" s="710">
        <f ca="1">SUMIF($F:$F,CONCATENATE($K20,"-","?",M$1),$I:$I) /COUNTIF($F:$F,CONCATENATE($K20,"-","?",M$1))</f>
        <v>0</v>
      </c>
      <c r="N20" s="710">
        <f ca="1">SUMIF($F:$F,CONCATENATE($K20,"-","?",N$1),$I:$I) /COUNTIF($F:$F,CONCATENATE($K20,"-","?",N$1))</f>
        <v>0</v>
      </c>
      <c r="O20" s="102">
        <f ca="1">MIN(O21:O23)</f>
        <v>0</v>
      </c>
      <c r="P20" s="110"/>
      <c r="Q20" s="95"/>
      <c r="R20" s="118">
        <v>0.8</v>
      </c>
      <c r="S20" s="95">
        <v>1</v>
      </c>
      <c r="T20" s="95">
        <v>1</v>
      </c>
      <c r="U20" s="106">
        <v>0.5</v>
      </c>
      <c r="V20" s="95"/>
      <c r="W20" s="983" t="str">
        <f ca="1">AB20&amp;"-"&amp;COUNTIF($AB$2:$AB20,$AB20)</f>
        <v>0-3-0-4</v>
      </c>
      <c r="X20" s="983" t="s">
        <v>964</v>
      </c>
      <c r="Y20" s="985">
        <f t="shared" ca="1" si="3"/>
        <v>0</v>
      </c>
      <c r="Z20" s="988">
        <v>3</v>
      </c>
      <c r="AA20" s="985">
        <f t="shared" ca="1" si="4"/>
        <v>0</v>
      </c>
      <c r="AB20" s="987" t="str">
        <f t="shared" ca="1" si="7"/>
        <v>0-3-0</v>
      </c>
    </row>
    <row r="21" spans="1:28" ht="15" customHeight="1" x14ac:dyDescent="0.2">
      <c r="A21" s="406" t="s">
        <v>59</v>
      </c>
      <c r="B21" s="406" t="s">
        <v>66</v>
      </c>
      <c r="C21" s="406" t="s">
        <v>168</v>
      </c>
      <c r="D21" s="973" t="s">
        <v>22</v>
      </c>
      <c r="E21" s="406">
        <v>1</v>
      </c>
      <c r="F21" s="100" t="str">
        <f t="shared" si="0"/>
        <v>ACCESS-31</v>
      </c>
      <c r="G21" s="100">
        <f t="shared" si="1"/>
        <v>3</v>
      </c>
      <c r="H21" s="133">
        <f t="shared" ca="1" si="5"/>
        <v>0</v>
      </c>
      <c r="I21" s="133">
        <f t="shared" ca="1" si="2"/>
        <v>0</v>
      </c>
      <c r="K21" s="107" t="s">
        <v>147</v>
      </c>
      <c r="L21" s="21">
        <f t="shared" ref="L21:N22" ca="1" si="14">SUMIF($F:$F,CONCATENATE($K21,L$1),$I:$I) / VLOOKUP(CONCATENATE($K21,L$1),$F:$G,2,FALSE)</f>
        <v>0</v>
      </c>
      <c r="M21" s="21">
        <f t="shared" ca="1" si="14"/>
        <v>0</v>
      </c>
      <c r="N21" s="21">
        <f t="shared" ca="1" si="14"/>
        <v>0</v>
      </c>
      <c r="O21" s="108">
        <f t="shared" ca="1" si="13"/>
        <v>0</v>
      </c>
      <c r="P21" s="110"/>
      <c r="Q21" s="95"/>
      <c r="R21" s="118">
        <v>0.8</v>
      </c>
      <c r="S21" s="95">
        <v>1</v>
      </c>
      <c r="T21" s="95">
        <v>1</v>
      </c>
      <c r="U21" s="106">
        <v>0.5</v>
      </c>
      <c r="V21" s="95"/>
      <c r="W21" s="983" t="str">
        <f ca="1">AB21&amp;"-"&amp;COUNTIF($AB$2:$AB21,$AB21)</f>
        <v>0-1-0-6</v>
      </c>
      <c r="X21" s="983" t="s">
        <v>168</v>
      </c>
      <c r="Y21" s="985">
        <f t="shared" ca="1" si="3"/>
        <v>0</v>
      </c>
      <c r="Z21" s="988">
        <v>1</v>
      </c>
      <c r="AA21" s="985">
        <f t="shared" ca="1" si="4"/>
        <v>0</v>
      </c>
      <c r="AB21" s="987" t="str">
        <f t="shared" ca="1" si="7"/>
        <v>0-1-0</v>
      </c>
    </row>
    <row r="22" spans="1:28" ht="15" customHeight="1" x14ac:dyDescent="0.2">
      <c r="A22" s="406" t="s">
        <v>59</v>
      </c>
      <c r="B22" s="406" t="s">
        <v>66</v>
      </c>
      <c r="C22" s="406" t="s">
        <v>169</v>
      </c>
      <c r="D22" s="973" t="s">
        <v>23</v>
      </c>
      <c r="E22" s="406">
        <v>1</v>
      </c>
      <c r="F22" s="100" t="str">
        <f t="shared" si="0"/>
        <v>ACCESS-31</v>
      </c>
      <c r="G22" s="100">
        <f t="shared" si="1"/>
        <v>3</v>
      </c>
      <c r="H22" s="133">
        <f t="shared" ca="1" si="5"/>
        <v>0</v>
      </c>
      <c r="I22" s="133">
        <f t="shared" ca="1" si="2"/>
        <v>0</v>
      </c>
      <c r="K22" s="107" t="s">
        <v>149</v>
      </c>
      <c r="L22" s="21">
        <f t="shared" ca="1" si="14"/>
        <v>0</v>
      </c>
      <c r="M22" s="21">
        <f t="shared" ca="1" si="14"/>
        <v>0</v>
      </c>
      <c r="N22" s="21">
        <f t="shared" ca="1" si="14"/>
        <v>0</v>
      </c>
      <c r="O22" s="108">
        <f t="shared" ca="1" si="13"/>
        <v>0</v>
      </c>
      <c r="P22" s="128"/>
      <c r="Q22" s="103"/>
      <c r="R22" s="118">
        <v>0.8</v>
      </c>
      <c r="S22" s="95">
        <v>1</v>
      </c>
      <c r="T22" s="95">
        <v>1</v>
      </c>
      <c r="U22" s="106">
        <v>0.5</v>
      </c>
      <c r="V22" s="103"/>
      <c r="W22" s="983" t="str">
        <f ca="1">AB22&amp;"-"&amp;COUNTIF($AB$2:$AB22,$AB22)</f>
        <v>0-1-0-7</v>
      </c>
      <c r="X22" s="983" t="s">
        <v>169</v>
      </c>
      <c r="Y22" s="985">
        <f t="shared" ca="1" si="3"/>
        <v>0</v>
      </c>
      <c r="Z22" s="988">
        <v>1</v>
      </c>
      <c r="AA22" s="985">
        <f t="shared" ca="1" si="4"/>
        <v>0</v>
      </c>
      <c r="AB22" s="987" t="str">
        <f t="shared" ca="1" si="7"/>
        <v>0-1-0</v>
      </c>
    </row>
    <row r="23" spans="1:28" ht="15" customHeight="1" x14ac:dyDescent="0.2">
      <c r="A23" s="406" t="s">
        <v>59</v>
      </c>
      <c r="B23" s="406" t="s">
        <v>66</v>
      </c>
      <c r="C23" s="406" t="s">
        <v>170</v>
      </c>
      <c r="D23" s="973" t="s">
        <v>24</v>
      </c>
      <c r="E23" s="406">
        <v>1</v>
      </c>
      <c r="F23" s="100" t="str">
        <f t="shared" si="0"/>
        <v>ACCESS-31</v>
      </c>
      <c r="G23" s="100">
        <f t="shared" si="1"/>
        <v>3</v>
      </c>
      <c r="H23" s="133">
        <f t="shared" ca="1" si="5"/>
        <v>0</v>
      </c>
      <c r="I23" s="133">
        <f t="shared" ca="1" si="2"/>
        <v>0</v>
      </c>
      <c r="K23" s="107" t="s">
        <v>151</v>
      </c>
      <c r="L23" s="21">
        <f ca="1">SUMIF($F:$F,CONCATENATE($K23,L$1),$I:$I) / VLOOKUP(CONCATENATE($K23,L$1),$F:$G,2,FALSE)</f>
        <v>0</v>
      </c>
      <c r="M23" s="21">
        <f ca="1">SUMIF($F:$F,CONCATENATE($K23,M$1),$I:$I) / VLOOKUP(CONCATENATE($K23,M$1),$F:$G,2,FALSE)</f>
        <v>0</v>
      </c>
      <c r="N23" s="111">
        <v>1</v>
      </c>
      <c r="O23" s="108">
        <f t="shared" ca="1" si="13"/>
        <v>0</v>
      </c>
      <c r="P23" s="110"/>
      <c r="Q23" s="95"/>
      <c r="R23" s="118">
        <v>0.8</v>
      </c>
      <c r="S23" s="95">
        <v>1</v>
      </c>
      <c r="T23" s="95">
        <v>1</v>
      </c>
      <c r="U23" s="106">
        <v>0.5</v>
      </c>
      <c r="V23" s="95"/>
      <c r="W23" s="983" t="str">
        <f ca="1">AB23&amp;"-"&amp;COUNTIF($AB$2:$AB23,$AB23)</f>
        <v>0-1-0-8</v>
      </c>
      <c r="X23" s="983" t="s">
        <v>170</v>
      </c>
      <c r="Y23" s="985">
        <f t="shared" ca="1" si="3"/>
        <v>0</v>
      </c>
      <c r="Z23" s="988">
        <v>1</v>
      </c>
      <c r="AA23" s="985">
        <f t="shared" ca="1" si="4"/>
        <v>0</v>
      </c>
      <c r="AB23" s="987" t="str">
        <f t="shared" ca="1" si="7"/>
        <v>0-1-0</v>
      </c>
    </row>
    <row r="24" spans="1:28" ht="15" customHeight="1" x14ac:dyDescent="0.2">
      <c r="A24" s="406" t="s">
        <v>59</v>
      </c>
      <c r="B24" s="406" t="s">
        <v>66</v>
      </c>
      <c r="C24" s="406" t="s">
        <v>171</v>
      </c>
      <c r="D24" s="973" t="s">
        <v>25</v>
      </c>
      <c r="E24" s="406">
        <v>2</v>
      </c>
      <c r="F24" s="100" t="str">
        <f t="shared" si="0"/>
        <v>ACCESS-32</v>
      </c>
      <c r="G24" s="100">
        <f t="shared" si="1"/>
        <v>5</v>
      </c>
      <c r="H24" s="133">
        <f t="shared" ca="1" si="5"/>
        <v>0</v>
      </c>
      <c r="I24" s="133">
        <f t="shared" ca="1" si="2"/>
        <v>0</v>
      </c>
      <c r="K24" s="101" t="s">
        <v>79</v>
      </c>
      <c r="L24" s="710">
        <f ca="1">SUMIF($F:$F,CONCATENATE($K24,"-","?",L$1),$I:$I) /COUNTIF($F:$F,CONCATENATE($K24,"-","?",L$1))</f>
        <v>0</v>
      </c>
      <c r="M24" s="710">
        <f ca="1">SUMIF($F:$F,CONCATENATE($K24,"-","?",M$1),$I:$I) /COUNTIF($F:$F,CONCATENATE($K24,"-","?",M$1))</f>
        <v>0</v>
      </c>
      <c r="N24" s="710">
        <f ca="1">SUMIF($F:$F,CONCATENATE($K24,"-","?",N$1),$I:$I) /COUNTIF($F:$F,CONCATENATE($K24,"-","?",N$1))</f>
        <v>0</v>
      </c>
      <c r="O24" s="102">
        <f ca="1">MIN(O25:O27)</f>
        <v>0</v>
      </c>
      <c r="P24" s="110"/>
      <c r="Q24" s="95"/>
      <c r="R24" s="118">
        <v>0.8</v>
      </c>
      <c r="S24" s="95">
        <v>1</v>
      </c>
      <c r="T24" s="95">
        <v>1</v>
      </c>
      <c r="U24" s="106">
        <v>0.5</v>
      </c>
      <c r="V24" s="95"/>
      <c r="W24" s="983" t="str">
        <f ca="1">AB24&amp;"-"&amp;COUNTIF($AB$2:$AB24,$AB24)</f>
        <v>0-2-0-11</v>
      </c>
      <c r="X24" s="983" t="s">
        <v>171</v>
      </c>
      <c r="Y24" s="985">
        <f t="shared" ca="1" si="3"/>
        <v>0</v>
      </c>
      <c r="Z24" s="988">
        <v>2</v>
      </c>
      <c r="AA24" s="985">
        <f t="shared" ca="1" si="4"/>
        <v>0</v>
      </c>
      <c r="AB24" s="987" t="str">
        <f t="shared" ca="1" si="7"/>
        <v>0-2-0</v>
      </c>
    </row>
    <row r="25" spans="1:28" ht="15" customHeight="1" x14ac:dyDescent="0.2">
      <c r="A25" s="406" t="s">
        <v>59</v>
      </c>
      <c r="B25" s="406" t="s">
        <v>66</v>
      </c>
      <c r="C25" s="406" t="s">
        <v>172</v>
      </c>
      <c r="D25" s="973" t="s">
        <v>26</v>
      </c>
      <c r="E25" s="406">
        <v>2</v>
      </c>
      <c r="F25" s="100" t="str">
        <f t="shared" si="0"/>
        <v>ACCESS-32</v>
      </c>
      <c r="G25" s="100">
        <f t="shared" si="1"/>
        <v>5</v>
      </c>
      <c r="H25" s="133">
        <f t="shared" ca="1" si="5"/>
        <v>0</v>
      </c>
      <c r="I25" s="133">
        <f t="shared" ca="1" si="2"/>
        <v>0</v>
      </c>
      <c r="K25" s="107" t="s">
        <v>132</v>
      </c>
      <c r="L25" s="21">
        <f t="shared" ref="L25:N26" ca="1" si="15">SUMIF($F:$F,CONCATENATE($K25,L$1),$I:$I) / VLOOKUP(CONCATENATE($K25,L$1),$F:$G,2,FALSE)</f>
        <v>0</v>
      </c>
      <c r="M25" s="21">
        <f t="shared" ca="1" si="15"/>
        <v>0</v>
      </c>
      <c r="N25" s="21">
        <f t="shared" ca="1" si="15"/>
        <v>0</v>
      </c>
      <c r="O25" s="108">
        <f t="shared" ca="1" si="13"/>
        <v>0</v>
      </c>
      <c r="P25" s="110"/>
      <c r="Q25" s="95"/>
      <c r="R25" s="118">
        <v>0.8</v>
      </c>
      <c r="S25" s="95">
        <v>1</v>
      </c>
      <c r="T25" s="95">
        <v>1</v>
      </c>
      <c r="U25" s="106">
        <v>0.5</v>
      </c>
      <c r="V25" s="95"/>
      <c r="W25" s="983" t="str">
        <f ca="1">AB25&amp;"-"&amp;COUNTIF($AB$2:$AB25,$AB25)</f>
        <v>0-2-0-12</v>
      </c>
      <c r="X25" s="983" t="s">
        <v>172</v>
      </c>
      <c r="Y25" s="985">
        <f t="shared" ca="1" si="3"/>
        <v>0</v>
      </c>
      <c r="Z25" s="988">
        <v>2</v>
      </c>
      <c r="AA25" s="985">
        <f t="shared" ca="1" si="4"/>
        <v>0</v>
      </c>
      <c r="AB25" s="987" t="str">
        <f t="shared" ca="1" si="7"/>
        <v>0-2-0</v>
      </c>
    </row>
    <row r="26" spans="1:28" ht="15" customHeight="1" x14ac:dyDescent="0.2">
      <c r="A26" s="406" t="s">
        <v>59</v>
      </c>
      <c r="B26" s="406" t="s">
        <v>66</v>
      </c>
      <c r="C26" s="406" t="s">
        <v>173</v>
      </c>
      <c r="D26" s="973" t="s">
        <v>27</v>
      </c>
      <c r="E26" s="406">
        <v>2</v>
      </c>
      <c r="F26" s="100" t="str">
        <f t="shared" si="0"/>
        <v>ACCESS-32</v>
      </c>
      <c r="G26" s="100">
        <f t="shared" si="1"/>
        <v>5</v>
      </c>
      <c r="H26" s="133">
        <f t="shared" ca="1" si="5"/>
        <v>0</v>
      </c>
      <c r="I26" s="133">
        <f t="shared" ca="1" si="2"/>
        <v>0</v>
      </c>
      <c r="K26" s="107" t="s">
        <v>135</v>
      </c>
      <c r="L26" s="21">
        <f t="shared" ca="1" si="15"/>
        <v>0</v>
      </c>
      <c r="M26" s="21">
        <f t="shared" ca="1" si="15"/>
        <v>0</v>
      </c>
      <c r="N26" s="21">
        <f t="shared" ca="1" si="15"/>
        <v>0</v>
      </c>
      <c r="O26" s="108">
        <f t="shared" ca="1" si="13"/>
        <v>0</v>
      </c>
      <c r="P26" s="128"/>
      <c r="Q26" s="103"/>
      <c r="R26" s="119">
        <v>0.8</v>
      </c>
      <c r="S26" s="114">
        <v>1</v>
      </c>
      <c r="T26" s="114">
        <v>1</v>
      </c>
      <c r="U26" s="115">
        <v>0.5</v>
      </c>
      <c r="V26" s="103"/>
      <c r="W26" s="983" t="str">
        <f ca="1">AB26&amp;"-"&amp;COUNTIF($AB$2:$AB26,$AB26)</f>
        <v>0-2-0-13</v>
      </c>
      <c r="X26" s="983" t="s">
        <v>173</v>
      </c>
      <c r="Y26" s="985">
        <f t="shared" ca="1" si="3"/>
        <v>0</v>
      </c>
      <c r="Z26" s="988">
        <v>2</v>
      </c>
      <c r="AA26" s="985">
        <f t="shared" ca="1" si="4"/>
        <v>0</v>
      </c>
      <c r="AB26" s="987" t="str">
        <f t="shared" ca="1" si="7"/>
        <v>0-2-0</v>
      </c>
    </row>
    <row r="27" spans="1:28" ht="15" customHeight="1" x14ac:dyDescent="0.2">
      <c r="A27" s="406" t="s">
        <v>59</v>
      </c>
      <c r="B27" s="406" t="s">
        <v>66</v>
      </c>
      <c r="C27" s="406" t="s">
        <v>174</v>
      </c>
      <c r="D27" s="973" t="s">
        <v>28</v>
      </c>
      <c r="E27" s="406">
        <v>2</v>
      </c>
      <c r="F27" s="100" t="str">
        <f t="shared" si="0"/>
        <v>ACCESS-32</v>
      </c>
      <c r="G27" s="100">
        <f t="shared" si="1"/>
        <v>5</v>
      </c>
      <c r="H27" s="133">
        <f t="shared" ca="1" si="5"/>
        <v>0</v>
      </c>
      <c r="I27" s="133">
        <f t="shared" ca="1" si="2"/>
        <v>0</v>
      </c>
      <c r="K27" s="107" t="s">
        <v>138</v>
      </c>
      <c r="L27" s="111">
        <v>1</v>
      </c>
      <c r="M27" s="21">
        <f ca="1">SUMIF($F:$F,CONCATENATE($K27,M$1),$I:$I) / VLOOKUP(CONCATENATE($K27,M$1),$F:$G,2,FALSE)</f>
        <v>0</v>
      </c>
      <c r="N27" s="21">
        <f ca="1">SUMIF($F:$F,CONCATENATE($K27,N$1),$I:$I) / VLOOKUP(CONCATENATE($K27,N$1),$F:$G,2,FALSE)</f>
        <v>0</v>
      </c>
      <c r="O27" s="108">
        <f t="shared" ca="1" si="13"/>
        <v>1</v>
      </c>
      <c r="P27" s="110"/>
      <c r="Q27" s="95"/>
      <c r="R27" s="95"/>
      <c r="V27" s="95"/>
      <c r="W27" s="983" t="str">
        <f ca="1">AB27&amp;"-"&amp;COUNTIF($AB$2:$AB27,$AB27)</f>
        <v>0-2-0-14</v>
      </c>
      <c r="X27" s="983" t="s">
        <v>174</v>
      </c>
      <c r="Y27" s="985">
        <f t="shared" ca="1" si="3"/>
        <v>0</v>
      </c>
      <c r="Z27" s="988">
        <v>2</v>
      </c>
      <c r="AA27" s="985">
        <f t="shared" ca="1" si="4"/>
        <v>0</v>
      </c>
      <c r="AB27" s="987" t="str">
        <f t="shared" ca="1" si="7"/>
        <v>0-2-0</v>
      </c>
    </row>
    <row r="28" spans="1:28" ht="15" customHeight="1" x14ac:dyDescent="0.2">
      <c r="A28" s="406" t="s">
        <v>59</v>
      </c>
      <c r="B28" s="406" t="s">
        <v>66</v>
      </c>
      <c r="C28" s="406" t="s">
        <v>965</v>
      </c>
      <c r="D28" s="973" t="s">
        <v>232</v>
      </c>
      <c r="E28" s="406">
        <v>2</v>
      </c>
      <c r="F28" s="100" t="str">
        <f t="shared" si="0"/>
        <v>ACCESS-32</v>
      </c>
      <c r="G28" s="100">
        <f t="shared" si="1"/>
        <v>5</v>
      </c>
      <c r="H28" s="133">
        <f t="shared" ca="1" si="5"/>
        <v>0</v>
      </c>
      <c r="I28" s="133">
        <f t="shared" ca="1" si="2"/>
        <v>0</v>
      </c>
      <c r="K28" s="101" t="s">
        <v>69</v>
      </c>
      <c r="L28" s="710">
        <f ca="1">SUMIF($F:$F,CONCATENATE($K28,"-","?",L$1),$I:$I) /COUNTIF($F:$F,CONCATENATE($K28,"-","?",L$1))</f>
        <v>0</v>
      </c>
      <c r="M28" s="710">
        <f ca="1">SUMIF($F:$F,CONCATENATE($K28,"-","?",M$1),$I:$I) /COUNTIF($F:$F,CONCATENATE($K28,"-","?",M$1))</f>
        <v>0</v>
      </c>
      <c r="N28" s="710">
        <f ca="1">SUMIF($F:$F,CONCATENATE($K28,"-","?",N$1),$I:$I) /COUNTIF($F:$F,CONCATENATE($K28,"-","?",N$1))</f>
        <v>0</v>
      </c>
      <c r="O28" s="102">
        <f ca="1">MIN(O29:O33)</f>
        <v>0</v>
      </c>
      <c r="P28" s="110"/>
      <c r="Q28" s="95"/>
      <c r="R28" s="95"/>
      <c r="V28" s="95"/>
      <c r="W28" s="983" t="str">
        <f ca="1">AB28&amp;"-"&amp;COUNTIF($AB$2:$AB28,$AB28)</f>
        <v>0-2-0-15</v>
      </c>
      <c r="X28" s="983" t="s">
        <v>965</v>
      </c>
      <c r="Y28" s="985">
        <f t="shared" ca="1" si="3"/>
        <v>0</v>
      </c>
      <c r="Z28" s="988">
        <v>2</v>
      </c>
      <c r="AA28" s="985">
        <f t="shared" ca="1" si="4"/>
        <v>0</v>
      </c>
      <c r="AB28" s="987" t="str">
        <f t="shared" ca="1" si="7"/>
        <v>0-2-0</v>
      </c>
    </row>
    <row r="29" spans="1:28" ht="15" customHeight="1" x14ac:dyDescent="0.2">
      <c r="A29" s="406" t="s">
        <v>59</v>
      </c>
      <c r="B29" s="406" t="s">
        <v>66</v>
      </c>
      <c r="C29" s="406" t="s">
        <v>966</v>
      </c>
      <c r="D29" s="973" t="s">
        <v>264</v>
      </c>
      <c r="E29" s="406">
        <v>3</v>
      </c>
      <c r="F29" s="100" t="str">
        <f t="shared" si="0"/>
        <v>ACCESS-33</v>
      </c>
      <c r="G29" s="100">
        <f t="shared" si="1"/>
        <v>2</v>
      </c>
      <c r="H29" s="133">
        <f t="shared" ca="1" si="5"/>
        <v>0</v>
      </c>
      <c r="I29" s="133">
        <f t="shared" ca="1" si="2"/>
        <v>0</v>
      </c>
      <c r="K29" s="107" t="s">
        <v>90</v>
      </c>
      <c r="L29" s="21">
        <f t="shared" ref="L29:N32" ca="1" si="16">SUMIF($F:$F,CONCATENATE($K29,L$1),$I:$I) / VLOOKUP(CONCATENATE($K29,L$1),$F:$G,2,FALSE)</f>
        <v>0</v>
      </c>
      <c r="M29" s="21">
        <f t="shared" ca="1" si="16"/>
        <v>0</v>
      </c>
      <c r="N29" s="21">
        <f t="shared" ca="1" si="16"/>
        <v>0</v>
      </c>
      <c r="O29" s="108">
        <f t="shared" ca="1" si="13"/>
        <v>0</v>
      </c>
      <c r="P29" s="110"/>
      <c r="Q29" s="95"/>
      <c r="R29" s="95"/>
      <c r="V29" s="95"/>
      <c r="W29" s="983" t="str">
        <f ca="1">AB29&amp;"-"&amp;COUNTIF($AB$2:$AB29,$AB29)</f>
        <v>0-3-0-5</v>
      </c>
      <c r="X29" s="983" t="s">
        <v>966</v>
      </c>
      <c r="Y29" s="985">
        <f t="shared" ca="1" si="3"/>
        <v>0</v>
      </c>
      <c r="Z29" s="988">
        <v>3</v>
      </c>
      <c r="AA29" s="985">
        <f t="shared" ca="1" si="4"/>
        <v>0</v>
      </c>
      <c r="AB29" s="987" t="str">
        <f t="shared" ca="1" si="7"/>
        <v>0-3-0</v>
      </c>
    </row>
    <row r="30" spans="1:28" ht="15" customHeight="1" x14ac:dyDescent="0.2">
      <c r="A30" s="406" t="s">
        <v>59</v>
      </c>
      <c r="B30" s="406" t="s">
        <v>66</v>
      </c>
      <c r="C30" s="406" t="s">
        <v>2609</v>
      </c>
      <c r="D30" s="973" t="s">
        <v>266</v>
      </c>
      <c r="E30" s="406">
        <v>3</v>
      </c>
      <c r="F30" s="100" t="str">
        <f t="shared" si="0"/>
        <v>ACCESS-33</v>
      </c>
      <c r="G30" s="100">
        <f t="shared" si="1"/>
        <v>2</v>
      </c>
      <c r="H30" s="133">
        <f t="shared" ca="1" si="5"/>
        <v>0</v>
      </c>
      <c r="I30" s="133">
        <f t="shared" ca="1" si="2"/>
        <v>0</v>
      </c>
      <c r="K30" s="107" t="s">
        <v>92</v>
      </c>
      <c r="L30" s="21">
        <f t="shared" ca="1" si="16"/>
        <v>0</v>
      </c>
      <c r="M30" s="21">
        <f t="shared" ca="1" si="16"/>
        <v>0</v>
      </c>
      <c r="N30" s="21">
        <f t="shared" ca="1" si="16"/>
        <v>0</v>
      </c>
      <c r="O30" s="108">
        <f t="shared" ca="1" si="13"/>
        <v>0</v>
      </c>
      <c r="P30" s="110"/>
      <c r="Q30" s="95"/>
      <c r="R30" s="95"/>
      <c r="V30" s="95"/>
      <c r="W30" s="983" t="str">
        <f ca="1">AB30&amp;"-"&amp;COUNTIF($AB$2:$AB30,$AB30)</f>
        <v>0-3-0-6</v>
      </c>
      <c r="X30" s="983" t="s">
        <v>2609</v>
      </c>
      <c r="Y30" s="985">
        <f t="shared" ca="1" si="3"/>
        <v>0</v>
      </c>
      <c r="Z30" s="988">
        <v>3</v>
      </c>
      <c r="AA30" s="985">
        <f t="shared" ca="1" si="4"/>
        <v>0</v>
      </c>
      <c r="AB30" s="987" t="str">
        <f t="shared" ca="1" si="7"/>
        <v>0-3-0</v>
      </c>
    </row>
    <row r="31" spans="1:28" ht="15" customHeight="1" thickBot="1" x14ac:dyDescent="0.25">
      <c r="A31" s="406" t="s">
        <v>59</v>
      </c>
      <c r="B31" s="406" t="s">
        <v>1017</v>
      </c>
      <c r="C31" s="406" t="s">
        <v>967</v>
      </c>
      <c r="D31" s="973" t="s">
        <v>117</v>
      </c>
      <c r="E31" s="406">
        <v>2</v>
      </c>
      <c r="F31" s="100" t="str">
        <f t="shared" si="0"/>
        <v>ACCESS-42</v>
      </c>
      <c r="G31" s="100">
        <f t="shared" si="1"/>
        <v>2</v>
      </c>
      <c r="H31" s="133">
        <f t="shared" ca="1" si="5"/>
        <v>0</v>
      </c>
      <c r="I31" s="133">
        <f t="shared" ca="1" si="2"/>
        <v>0</v>
      </c>
      <c r="K31" s="107" t="s">
        <v>94</v>
      </c>
      <c r="L31" s="21">
        <f t="shared" ca="1" si="16"/>
        <v>0</v>
      </c>
      <c r="M31" s="21">
        <f t="shared" ca="1" si="16"/>
        <v>0</v>
      </c>
      <c r="N31" s="21">
        <f t="shared" ca="1" si="16"/>
        <v>0</v>
      </c>
      <c r="O31" s="108">
        <f t="shared" ca="1" si="13"/>
        <v>0</v>
      </c>
      <c r="P31" s="128"/>
      <c r="V31" s="103"/>
      <c r="W31" s="983" t="str">
        <f ca="1">AB31&amp;"-"&amp;COUNTIF($AB$2:$AB31,$AB31)</f>
        <v>1-2-0-1</v>
      </c>
      <c r="X31" s="983" t="s">
        <v>967</v>
      </c>
      <c r="Y31" s="985">
        <f t="shared" ca="1" si="3"/>
        <v>1</v>
      </c>
      <c r="Z31" s="988">
        <v>2</v>
      </c>
      <c r="AA31" s="985">
        <f t="shared" ca="1" si="4"/>
        <v>0</v>
      </c>
      <c r="AB31" s="987" t="str">
        <f t="shared" ca="1" si="7"/>
        <v>1-2-0</v>
      </c>
    </row>
    <row r="32" spans="1:28" ht="15" customHeight="1" thickBot="1" x14ac:dyDescent="0.25">
      <c r="A32" s="406" t="s">
        <v>59</v>
      </c>
      <c r="B32" s="406" t="s">
        <v>1017</v>
      </c>
      <c r="C32" s="406" t="s">
        <v>968</v>
      </c>
      <c r="D32" s="973" t="s">
        <v>120</v>
      </c>
      <c r="E32" s="406">
        <v>2</v>
      </c>
      <c r="F32" s="100" t="str">
        <f t="shared" si="0"/>
        <v>ACCESS-42</v>
      </c>
      <c r="G32" s="100">
        <f t="shared" si="1"/>
        <v>2</v>
      </c>
      <c r="H32" s="133">
        <f t="shared" ca="1" si="5"/>
        <v>0</v>
      </c>
      <c r="I32" s="133">
        <f t="shared" ca="1" si="2"/>
        <v>0</v>
      </c>
      <c r="K32" s="107" t="s">
        <v>96</v>
      </c>
      <c r="L32" s="21">
        <f t="shared" ca="1" si="16"/>
        <v>0</v>
      </c>
      <c r="M32" s="21">
        <f t="shared" ca="1" si="16"/>
        <v>0</v>
      </c>
      <c r="N32" s="21">
        <f t="shared" ca="1" si="16"/>
        <v>0</v>
      </c>
      <c r="O32" s="108">
        <f t="shared" ca="1" si="13"/>
        <v>0</v>
      </c>
      <c r="P32" s="110"/>
      <c r="Q32" s="96" t="s">
        <v>29</v>
      </c>
      <c r="R32" s="97" t="s">
        <v>787</v>
      </c>
      <c r="S32" s="94">
        <v>1</v>
      </c>
      <c r="T32" s="94">
        <v>2</v>
      </c>
      <c r="U32" s="94">
        <v>3</v>
      </c>
      <c r="V32" s="95"/>
      <c r="W32" s="983" t="str">
        <f ca="1">AB32&amp;"-"&amp;COUNTIF($AB$2:$AB32,$AB32)</f>
        <v>1-2-0-2</v>
      </c>
      <c r="X32" s="983" t="s">
        <v>968</v>
      </c>
      <c r="Y32" s="985">
        <f t="shared" ca="1" si="3"/>
        <v>1</v>
      </c>
      <c r="Z32" s="988">
        <v>2</v>
      </c>
      <c r="AA32" s="985">
        <f t="shared" ca="1" si="4"/>
        <v>0</v>
      </c>
      <c r="AB32" s="987" t="str">
        <f t="shared" ca="1" si="7"/>
        <v>1-2-0</v>
      </c>
    </row>
    <row r="33" spans="1:28" ht="15" customHeight="1" x14ac:dyDescent="0.2">
      <c r="A33" s="406" t="s">
        <v>59</v>
      </c>
      <c r="B33" s="406" t="s">
        <v>1017</v>
      </c>
      <c r="C33" s="406" t="s">
        <v>969</v>
      </c>
      <c r="D33" s="973" t="s">
        <v>123</v>
      </c>
      <c r="E33" s="406">
        <v>3</v>
      </c>
      <c r="F33" s="100" t="str">
        <f t="shared" si="0"/>
        <v>ACCESS-43</v>
      </c>
      <c r="G33" s="100">
        <f t="shared" si="1"/>
        <v>4</v>
      </c>
      <c r="H33" s="133">
        <f t="shared" ca="1" si="5"/>
        <v>0</v>
      </c>
      <c r="I33" s="133">
        <f t="shared" ca="1" si="2"/>
        <v>0</v>
      </c>
      <c r="K33" s="107" t="s">
        <v>1025</v>
      </c>
      <c r="L33" s="111">
        <v>1</v>
      </c>
      <c r="M33" s="21">
        <f ca="1">SUMIF($F:$F,CONCATENATE($K33,M$1),$I:$I) / VLOOKUP(CONCATENATE($K33,M$1),$F:$G,2,FALSE)</f>
        <v>0</v>
      </c>
      <c r="N33" s="21">
        <f ca="1">SUMIF($F:$F,CONCATENATE($K33,N$1),$I:$I) / VLOOKUP(CONCATENATE($K33,N$1),$F:$G,2,FALSE)</f>
        <v>0</v>
      </c>
      <c r="O33" s="108">
        <f t="shared" ca="1" si="13"/>
        <v>1</v>
      </c>
      <c r="P33" s="110"/>
      <c r="Q33" s="109" t="s">
        <v>56</v>
      </c>
      <c r="R33" s="128" t="str">
        <f>Parameters!B78</f>
        <v>Kriittiset
palvelut</v>
      </c>
      <c r="S33" s="120">
        <f ca="1">VLOOKUP($Q33,$K$2:$N$58,2,FALSE)</f>
        <v>0</v>
      </c>
      <c r="T33" s="120">
        <f ca="1">VLOOKUP($Q33,$K$2:$N$58,3,FALSE)</f>
        <v>0</v>
      </c>
      <c r="U33" s="120">
        <f ca="1">VLOOKUP($Q33,$K$2:$N$58,4,FALSE)</f>
        <v>0</v>
      </c>
      <c r="V33" s="95"/>
      <c r="W33" s="983" t="str">
        <f ca="1">AB33&amp;"-"&amp;COUNTIF($AB$2:$AB33,$AB33)</f>
        <v>1-3-0-1</v>
      </c>
      <c r="X33" s="983" t="s">
        <v>969</v>
      </c>
      <c r="Y33" s="985">
        <f t="shared" ca="1" si="3"/>
        <v>1</v>
      </c>
      <c r="Z33" s="988">
        <v>3</v>
      </c>
      <c r="AA33" s="985">
        <f t="shared" ca="1" si="4"/>
        <v>0</v>
      </c>
      <c r="AB33" s="987" t="str">
        <f t="shared" ca="1" si="7"/>
        <v>1-3-0</v>
      </c>
    </row>
    <row r="34" spans="1:28" ht="15" customHeight="1" x14ac:dyDescent="0.2">
      <c r="A34" s="406" t="s">
        <v>59</v>
      </c>
      <c r="B34" s="406" t="s">
        <v>1017</v>
      </c>
      <c r="C34" s="406" t="s">
        <v>970</v>
      </c>
      <c r="D34" s="973" t="s">
        <v>126</v>
      </c>
      <c r="E34" s="406">
        <v>3</v>
      </c>
      <c r="F34" s="100" t="str">
        <f t="shared" si="0"/>
        <v>ACCESS-43</v>
      </c>
      <c r="G34" s="100">
        <f t="shared" si="1"/>
        <v>4</v>
      </c>
      <c r="H34" s="133">
        <f t="shared" ca="1" si="5"/>
        <v>0</v>
      </c>
      <c r="I34" s="133">
        <f t="shared" ca="1" si="2"/>
        <v>0</v>
      </c>
      <c r="K34" s="101" t="s">
        <v>0</v>
      </c>
      <c r="L34" s="710">
        <f ca="1">SUMIF($F:$F,CONCATENATE($K34,"-","?",L$1),$I:$I) /COUNTIF($F:$F,CONCATENATE($K34,"-","?",L$1))</f>
        <v>0</v>
      </c>
      <c r="M34" s="710">
        <f ca="1">SUMIF($F:$F,CONCATENATE($K34,"-","?",M$1),$I:$I) /COUNTIF($F:$F,CONCATENATE($K34,"-","?",M$1))</f>
        <v>0</v>
      </c>
      <c r="N34" s="710">
        <f ca="1">SUMIF($F:$F,CONCATENATE($K34,"-","?",N$1),$I:$I) /COUNTIF($F:$F,CONCATENATE($K34,"-","?",N$1))</f>
        <v>0</v>
      </c>
      <c r="O34" s="102">
        <f ca="1">MIN(O35:O39)</f>
        <v>0</v>
      </c>
      <c r="P34" s="110"/>
      <c r="Q34" s="109" t="s">
        <v>48</v>
      </c>
      <c r="R34" s="128" t="str">
        <f>Parameters!B79</f>
        <v>Omaisuuden
hallinta</v>
      </c>
      <c r="S34" s="120">
        <f t="shared" ref="S34:S43" ca="1" si="17">VLOOKUP($Q34,$K$2:$N$58,2,FALSE)</f>
        <v>0</v>
      </c>
      <c r="T34" s="120">
        <f t="shared" ref="T34:T43" ca="1" si="18">VLOOKUP($Q34,$K$2:$N$58,3,FALSE)</f>
        <v>0</v>
      </c>
      <c r="U34" s="120">
        <f t="shared" ref="U34:U43" ca="1" si="19">VLOOKUP($Q34,$K$2:$N$58,4,FALSE)</f>
        <v>0</v>
      </c>
      <c r="V34" s="95"/>
      <c r="W34" s="983" t="str">
        <f ca="1">AB34&amp;"-"&amp;COUNTIF($AB$2:$AB34,$AB34)</f>
        <v>1-3-0-2</v>
      </c>
      <c r="X34" s="983" t="s">
        <v>970</v>
      </c>
      <c r="Y34" s="985">
        <f t="shared" ref="Y34:Y65" ca="1" si="20">VLOOKUP(LEFT($X34,LEN($X34)-1),$K:$O,5,FALSE)</f>
        <v>1</v>
      </c>
      <c r="Z34" s="988">
        <v>3</v>
      </c>
      <c r="AA34" s="985">
        <f t="shared" ca="1" si="4"/>
        <v>0</v>
      </c>
      <c r="AB34" s="987" t="str">
        <f t="shared" ca="1" si="7"/>
        <v>1-3-0</v>
      </c>
    </row>
    <row r="35" spans="1:28" ht="15" customHeight="1" x14ac:dyDescent="0.2">
      <c r="A35" s="406" t="s">
        <v>59</v>
      </c>
      <c r="B35" s="406" t="s">
        <v>1017</v>
      </c>
      <c r="C35" s="406" t="s">
        <v>971</v>
      </c>
      <c r="D35" s="973" t="s">
        <v>129</v>
      </c>
      <c r="E35" s="406">
        <v>3</v>
      </c>
      <c r="F35" s="100" t="str">
        <f t="shared" si="0"/>
        <v>ACCESS-43</v>
      </c>
      <c r="G35" s="100">
        <f t="shared" si="1"/>
        <v>4</v>
      </c>
      <c r="H35" s="133">
        <f t="shared" ca="1" si="5"/>
        <v>0</v>
      </c>
      <c r="I35" s="133">
        <f t="shared" ca="1" si="2"/>
        <v>0</v>
      </c>
      <c r="K35" s="107" t="s">
        <v>40</v>
      </c>
      <c r="L35" s="21">
        <f t="shared" ref="L35:N38" ca="1" si="21">SUMIF($F:$F,CONCATENATE($K35,L$1),$I:$I) / VLOOKUP(CONCATENATE($K35,L$1),$F:$G,2,FALSE)</f>
        <v>0</v>
      </c>
      <c r="M35" s="21">
        <f t="shared" ca="1" si="21"/>
        <v>0</v>
      </c>
      <c r="N35" s="21">
        <f t="shared" ca="1" si="21"/>
        <v>0</v>
      </c>
      <c r="O35" s="108">
        <f t="shared" ca="1" si="13"/>
        <v>0</v>
      </c>
      <c r="P35" s="110"/>
      <c r="Q35" s="109" t="s">
        <v>64</v>
      </c>
      <c r="R35" s="128" t="str">
        <f>Parameters!B80</f>
        <v>Uhkat ja
haavoittuvuudet</v>
      </c>
      <c r="S35" s="120">
        <f t="shared" ca="1" si="17"/>
        <v>0</v>
      </c>
      <c r="T35" s="120">
        <f t="shared" ca="1" si="18"/>
        <v>0</v>
      </c>
      <c r="U35" s="120">
        <f t="shared" ca="1" si="19"/>
        <v>0</v>
      </c>
      <c r="V35" s="95"/>
      <c r="W35" s="983" t="str">
        <f ca="1">AB35&amp;"-"&amp;COUNTIF($AB$2:$AB35,$AB35)</f>
        <v>1-3-0-3</v>
      </c>
      <c r="X35" s="983" t="s">
        <v>971</v>
      </c>
      <c r="Y35" s="985">
        <f t="shared" ca="1" si="20"/>
        <v>1</v>
      </c>
      <c r="Z35" s="988">
        <v>3</v>
      </c>
      <c r="AA35" s="985">
        <f t="shared" ca="1" si="4"/>
        <v>0</v>
      </c>
      <c r="AB35" s="987" t="str">
        <f t="shared" ca="1" si="7"/>
        <v>1-3-0</v>
      </c>
    </row>
    <row r="36" spans="1:28" ht="15" customHeight="1" x14ac:dyDescent="0.2">
      <c r="A36" s="406" t="s">
        <v>59</v>
      </c>
      <c r="B36" s="406" t="s">
        <v>1017</v>
      </c>
      <c r="C36" s="406" t="s">
        <v>972</v>
      </c>
      <c r="D36" s="973" t="s">
        <v>131</v>
      </c>
      <c r="E36" s="406">
        <v>3</v>
      </c>
      <c r="F36" s="100" t="str">
        <f t="shared" si="0"/>
        <v>ACCESS-43</v>
      </c>
      <c r="G36" s="100">
        <f t="shared" si="1"/>
        <v>4</v>
      </c>
      <c r="H36" s="133">
        <f t="shared" ca="1" si="5"/>
        <v>0</v>
      </c>
      <c r="I36" s="133">
        <f t="shared" ca="1" si="2"/>
        <v>0</v>
      </c>
      <c r="K36" s="107" t="s">
        <v>44</v>
      </c>
      <c r="L36" s="21">
        <f t="shared" ca="1" si="21"/>
        <v>0</v>
      </c>
      <c r="M36" s="21">
        <f t="shared" ca="1" si="21"/>
        <v>0</v>
      </c>
      <c r="N36" s="21">
        <f t="shared" ca="1" si="21"/>
        <v>0</v>
      </c>
      <c r="O36" s="108">
        <f t="shared" ca="1" si="13"/>
        <v>0</v>
      </c>
      <c r="P36" s="128"/>
      <c r="Q36" s="109" t="s">
        <v>0</v>
      </c>
      <c r="R36" s="128" t="str">
        <f>Parameters!B81</f>
        <v>Riskien
hallinta</v>
      </c>
      <c r="S36" s="120">
        <f t="shared" ca="1" si="17"/>
        <v>0</v>
      </c>
      <c r="T36" s="120">
        <f t="shared" ca="1" si="18"/>
        <v>0</v>
      </c>
      <c r="U36" s="120">
        <f t="shared" ca="1" si="19"/>
        <v>0</v>
      </c>
      <c r="V36" s="103"/>
      <c r="W36" s="983" t="str">
        <f ca="1">AB36&amp;"-"&amp;COUNTIF($AB$2:$AB36,$AB36)</f>
        <v>1-3-0-4</v>
      </c>
      <c r="X36" s="983" t="s">
        <v>972</v>
      </c>
      <c r="Y36" s="985">
        <f t="shared" ca="1" si="20"/>
        <v>1</v>
      </c>
      <c r="Z36" s="988">
        <v>3</v>
      </c>
      <c r="AA36" s="985">
        <f t="shared" ca="1" si="4"/>
        <v>0</v>
      </c>
      <c r="AB36" s="987" t="str">
        <f t="shared" ca="1" si="7"/>
        <v>1-3-0</v>
      </c>
    </row>
    <row r="37" spans="1:28" ht="15" customHeight="1" x14ac:dyDescent="0.2">
      <c r="A37" s="130" t="s">
        <v>77</v>
      </c>
      <c r="B37" s="130" t="s">
        <v>115</v>
      </c>
      <c r="C37" s="130" t="s">
        <v>303</v>
      </c>
      <c r="D37" s="974" t="s">
        <v>5</v>
      </c>
      <c r="E37" s="130">
        <v>1</v>
      </c>
      <c r="F37" s="100" t="str">
        <f t="shared" si="0"/>
        <v>ARCHITECTURE-11</v>
      </c>
      <c r="G37" s="100">
        <f t="shared" si="1"/>
        <v>1</v>
      </c>
      <c r="H37" s="133">
        <f t="shared" ca="1" si="5"/>
        <v>0</v>
      </c>
      <c r="I37" s="133">
        <f t="shared" ca="1" si="2"/>
        <v>0</v>
      </c>
      <c r="K37" s="107" t="s">
        <v>46</v>
      </c>
      <c r="L37" s="21">
        <f t="shared" ca="1" si="21"/>
        <v>0</v>
      </c>
      <c r="M37" s="21">
        <f t="shared" ca="1" si="21"/>
        <v>0</v>
      </c>
      <c r="N37" s="21">
        <f t="shared" ca="1" si="21"/>
        <v>0</v>
      </c>
      <c r="O37" s="108">
        <f t="shared" ca="1" si="13"/>
        <v>0</v>
      </c>
      <c r="P37" s="110"/>
      <c r="Q37" s="109" t="s">
        <v>59</v>
      </c>
      <c r="R37" s="128" t="str">
        <f>Parameters!B82</f>
        <v>Pääsyn
hallinta</v>
      </c>
      <c r="S37" s="120">
        <f t="shared" ca="1" si="17"/>
        <v>0</v>
      </c>
      <c r="T37" s="120">
        <f t="shared" ca="1" si="18"/>
        <v>0</v>
      </c>
      <c r="U37" s="120">
        <f t="shared" ca="1" si="19"/>
        <v>0</v>
      </c>
      <c r="V37" s="95"/>
      <c r="W37" s="983" t="str">
        <f ca="1">AB37&amp;"-"&amp;COUNTIF($AB$2:$AB37,$AB37)</f>
        <v>0-1-0-9</v>
      </c>
      <c r="X37" s="983" t="s">
        <v>303</v>
      </c>
      <c r="Y37" s="985">
        <f t="shared" ca="1" si="20"/>
        <v>0</v>
      </c>
      <c r="Z37" s="988">
        <v>1</v>
      </c>
      <c r="AA37" s="985">
        <f t="shared" ca="1" si="4"/>
        <v>0</v>
      </c>
      <c r="AB37" s="987" t="str">
        <f t="shared" ca="1" si="7"/>
        <v>0-1-0</v>
      </c>
    </row>
    <row r="38" spans="1:28" ht="15" customHeight="1" x14ac:dyDescent="0.2">
      <c r="A38" s="130" t="s">
        <v>77</v>
      </c>
      <c r="B38" s="130" t="s">
        <v>115</v>
      </c>
      <c r="C38" s="130" t="s">
        <v>304</v>
      </c>
      <c r="D38" s="974" t="s">
        <v>7</v>
      </c>
      <c r="E38" s="130">
        <v>2</v>
      </c>
      <c r="F38" s="100" t="str">
        <f t="shared" si="0"/>
        <v>ARCHITECTURE-12</v>
      </c>
      <c r="G38" s="100">
        <f t="shared" si="1"/>
        <v>6</v>
      </c>
      <c r="H38" s="133">
        <f t="shared" ca="1" si="5"/>
        <v>0</v>
      </c>
      <c r="I38" s="133">
        <f t="shared" ca="1" si="2"/>
        <v>0</v>
      </c>
      <c r="K38" s="107" t="s">
        <v>1015</v>
      </c>
      <c r="L38" s="21">
        <f t="shared" ca="1" si="21"/>
        <v>0</v>
      </c>
      <c r="M38" s="21">
        <f t="shared" ca="1" si="21"/>
        <v>0</v>
      </c>
      <c r="N38" s="21">
        <f t="shared" ca="1" si="21"/>
        <v>0</v>
      </c>
      <c r="O38" s="108">
        <f t="shared" ca="1" si="13"/>
        <v>0</v>
      </c>
      <c r="P38" s="110"/>
      <c r="Q38" s="109" t="s">
        <v>67</v>
      </c>
      <c r="R38" s="128" t="str">
        <f>Parameters!B83</f>
        <v>Tilanne
kuva</v>
      </c>
      <c r="S38" s="120">
        <f t="shared" ca="1" si="17"/>
        <v>0</v>
      </c>
      <c r="T38" s="120">
        <f t="shared" ca="1" si="18"/>
        <v>0</v>
      </c>
      <c r="U38" s="120">
        <f t="shared" ca="1" si="19"/>
        <v>0</v>
      </c>
      <c r="V38" s="95"/>
      <c r="W38" s="983" t="str">
        <f ca="1">AB38&amp;"-"&amp;COUNTIF($AB$2:$AB38,$AB38)</f>
        <v>0-2-0-16</v>
      </c>
      <c r="X38" s="983" t="s">
        <v>304</v>
      </c>
      <c r="Y38" s="985">
        <f t="shared" ca="1" si="20"/>
        <v>0</v>
      </c>
      <c r="Z38" s="988">
        <v>2</v>
      </c>
      <c r="AA38" s="985">
        <f t="shared" ca="1" si="4"/>
        <v>0</v>
      </c>
      <c r="AB38" s="987" t="str">
        <f t="shared" ca="1" si="7"/>
        <v>0-2-0</v>
      </c>
    </row>
    <row r="39" spans="1:28" ht="15" customHeight="1" x14ac:dyDescent="0.2">
      <c r="A39" s="130" t="s">
        <v>77</v>
      </c>
      <c r="B39" s="130" t="s">
        <v>115</v>
      </c>
      <c r="C39" s="130" t="s">
        <v>305</v>
      </c>
      <c r="D39" s="974" t="s">
        <v>8</v>
      </c>
      <c r="E39" s="130">
        <v>2</v>
      </c>
      <c r="F39" s="100" t="str">
        <f t="shared" si="0"/>
        <v>ARCHITECTURE-12</v>
      </c>
      <c r="G39" s="100">
        <f t="shared" si="1"/>
        <v>6</v>
      </c>
      <c r="H39" s="133">
        <f t="shared" ca="1" si="5"/>
        <v>0</v>
      </c>
      <c r="I39" s="133">
        <f t="shared" ca="1" si="2"/>
        <v>0</v>
      </c>
      <c r="K39" s="107" t="s">
        <v>1016</v>
      </c>
      <c r="L39" s="111">
        <v>1</v>
      </c>
      <c r="M39" s="21">
        <f ca="1">SUMIF($F:$F,CONCATENATE($K39,M$1),$I:$I) / VLOOKUP(CONCATENATE($K39,M$1),$F:$G,2,FALSE)</f>
        <v>0</v>
      </c>
      <c r="N39" s="21">
        <f ca="1">SUMIF($F:$F,CONCATENATE($K39,N$1),$I:$I) / VLOOKUP(CONCATENATE($K39,N$1),$F:$G,2,FALSE)</f>
        <v>0</v>
      </c>
      <c r="O39" s="108">
        <f t="shared" ca="1" si="13"/>
        <v>1</v>
      </c>
      <c r="P39" s="110"/>
      <c r="Q39" s="109" t="s">
        <v>69</v>
      </c>
      <c r="R39" s="128" t="str">
        <f>Parameters!B84</f>
        <v>Tapahtumat
ja häiriöt</v>
      </c>
      <c r="S39" s="120">
        <f t="shared" ca="1" si="17"/>
        <v>0</v>
      </c>
      <c r="T39" s="120">
        <f t="shared" ca="1" si="18"/>
        <v>0</v>
      </c>
      <c r="U39" s="120">
        <f t="shared" ca="1" si="19"/>
        <v>0</v>
      </c>
      <c r="V39" s="95"/>
      <c r="W39" s="983" t="str">
        <f ca="1">AB39&amp;"-"&amp;COUNTIF($AB$2:$AB39,$AB39)</f>
        <v>0-2-0-17</v>
      </c>
      <c r="X39" s="983" t="s">
        <v>305</v>
      </c>
      <c r="Y39" s="985">
        <f t="shared" ca="1" si="20"/>
        <v>0</v>
      </c>
      <c r="Z39" s="988">
        <v>2</v>
      </c>
      <c r="AA39" s="985">
        <f t="shared" ca="1" si="4"/>
        <v>0</v>
      </c>
      <c r="AB39" s="987" t="str">
        <f t="shared" ca="1" si="7"/>
        <v>0-2-0</v>
      </c>
    </row>
    <row r="40" spans="1:28" ht="15" customHeight="1" x14ac:dyDescent="0.2">
      <c r="A40" s="130" t="s">
        <v>77</v>
      </c>
      <c r="B40" s="130" t="s">
        <v>115</v>
      </c>
      <c r="C40" s="130" t="s">
        <v>306</v>
      </c>
      <c r="D40" s="974" t="s">
        <v>9</v>
      </c>
      <c r="E40" s="130">
        <v>2</v>
      </c>
      <c r="F40" s="100" t="str">
        <f t="shared" si="0"/>
        <v>ARCHITECTURE-12</v>
      </c>
      <c r="G40" s="100">
        <f t="shared" si="1"/>
        <v>6</v>
      </c>
      <c r="H40" s="133">
        <f t="shared" ca="1" si="5"/>
        <v>0</v>
      </c>
      <c r="I40" s="133">
        <f t="shared" ca="1" si="2"/>
        <v>0</v>
      </c>
      <c r="K40" s="101" t="s">
        <v>67</v>
      </c>
      <c r="L40" s="710">
        <f ca="1">SUMIF($F:$F,CONCATENATE($K40,"-","?",L$1),$I:$I) /COUNTIF($F:$F,CONCATENATE($K40,"-","?",L$1))</f>
        <v>0</v>
      </c>
      <c r="M40" s="710">
        <f ca="1">SUMIF($F:$F,CONCATENATE($K40,"-","?",M$1),$I:$I) /COUNTIF($F:$F,CONCATENATE($K40,"-","?",M$1))</f>
        <v>0</v>
      </c>
      <c r="N40" s="710">
        <f ca="1">SUMIF($F:$F,CONCATENATE($K40,"-","?",N$1),$I:$I) /COUNTIF($F:$F,CONCATENATE($K40,"-","?",N$1))</f>
        <v>0</v>
      </c>
      <c r="O40" s="102">
        <f ca="1">MIN(O41:O44)</f>
        <v>0</v>
      </c>
      <c r="P40" s="128"/>
      <c r="Q40" s="109" t="s">
        <v>2619</v>
      </c>
      <c r="R40" s="128" t="str">
        <f>Parameters!B85</f>
        <v>Kolmannet
osapuolet</v>
      </c>
      <c r="S40" s="120">
        <f t="shared" ca="1" si="17"/>
        <v>0</v>
      </c>
      <c r="T40" s="120">
        <f t="shared" ca="1" si="18"/>
        <v>0</v>
      </c>
      <c r="U40" s="120">
        <f t="shared" ca="1" si="19"/>
        <v>0</v>
      </c>
      <c r="V40" s="103"/>
      <c r="W40" s="983" t="str">
        <f ca="1">AB40&amp;"-"&amp;COUNTIF($AB$2:$AB40,$AB40)</f>
        <v>0-2-0-18</v>
      </c>
      <c r="X40" s="983" t="s">
        <v>306</v>
      </c>
      <c r="Y40" s="985">
        <f t="shared" ca="1" si="20"/>
        <v>0</v>
      </c>
      <c r="Z40" s="988">
        <v>2</v>
      </c>
      <c r="AA40" s="985">
        <f t="shared" ca="1" si="4"/>
        <v>0</v>
      </c>
      <c r="AB40" s="987" t="str">
        <f t="shared" ca="1" si="7"/>
        <v>0-2-0</v>
      </c>
    </row>
    <row r="41" spans="1:28" ht="15" customHeight="1" x14ac:dyDescent="0.2">
      <c r="A41" s="130" t="s">
        <v>77</v>
      </c>
      <c r="B41" s="130" t="s">
        <v>115</v>
      </c>
      <c r="C41" s="130" t="s">
        <v>307</v>
      </c>
      <c r="D41" s="974" t="s">
        <v>10</v>
      </c>
      <c r="E41" s="130">
        <v>2</v>
      </c>
      <c r="F41" s="100" t="str">
        <f t="shared" si="0"/>
        <v>ARCHITECTURE-12</v>
      </c>
      <c r="G41" s="100">
        <f t="shared" si="1"/>
        <v>6</v>
      </c>
      <c r="H41" s="133">
        <f t="shared" ca="1" si="5"/>
        <v>0</v>
      </c>
      <c r="I41" s="133">
        <f t="shared" ca="1" si="2"/>
        <v>0</v>
      </c>
      <c r="K41" s="107" t="s">
        <v>81</v>
      </c>
      <c r="L41" s="21">
        <f t="shared" ref="L41:N42" ca="1" si="22">SUMIF($F:$F,CONCATENATE($K41,L$1),$I:$I) / VLOOKUP(CONCATENATE($K41,L$1),$F:$G,2,FALSE)</f>
        <v>0</v>
      </c>
      <c r="M41" s="21">
        <f t="shared" ca="1" si="22"/>
        <v>0</v>
      </c>
      <c r="N41" s="21">
        <f t="shared" ca="1" si="22"/>
        <v>0</v>
      </c>
      <c r="O41" s="108">
        <f t="shared" ca="1" si="13"/>
        <v>0</v>
      </c>
      <c r="P41" s="110"/>
      <c r="Q41" s="109" t="s">
        <v>74</v>
      </c>
      <c r="R41" s="128" t="str">
        <f>Parameters!B86</f>
        <v>Henkilöstön
hallinta</v>
      </c>
      <c r="S41" s="120">
        <f t="shared" ca="1" si="17"/>
        <v>0</v>
      </c>
      <c r="T41" s="120">
        <f t="shared" ca="1" si="18"/>
        <v>0</v>
      </c>
      <c r="U41" s="120">
        <f t="shared" ca="1" si="19"/>
        <v>0</v>
      </c>
      <c r="V41" s="95"/>
      <c r="W41" s="983" t="str">
        <f ca="1">AB41&amp;"-"&amp;COUNTIF($AB$2:$AB41,$AB41)</f>
        <v>0-2-0-19</v>
      </c>
      <c r="X41" s="983" t="s">
        <v>307</v>
      </c>
      <c r="Y41" s="985">
        <f t="shared" ca="1" si="20"/>
        <v>0</v>
      </c>
      <c r="Z41" s="988">
        <v>2</v>
      </c>
      <c r="AA41" s="985">
        <f t="shared" ca="1" si="4"/>
        <v>0</v>
      </c>
      <c r="AB41" s="987" t="str">
        <f t="shared" ca="1" si="7"/>
        <v>0-2-0</v>
      </c>
    </row>
    <row r="42" spans="1:28" ht="15" customHeight="1" x14ac:dyDescent="0.2">
      <c r="A42" s="130" t="s">
        <v>77</v>
      </c>
      <c r="B42" s="130" t="s">
        <v>115</v>
      </c>
      <c r="C42" s="130" t="s">
        <v>308</v>
      </c>
      <c r="D42" s="974" t="s">
        <v>11</v>
      </c>
      <c r="E42" s="130">
        <v>2</v>
      </c>
      <c r="F42" s="100" t="str">
        <f t="shared" si="0"/>
        <v>ARCHITECTURE-12</v>
      </c>
      <c r="G42" s="100">
        <f t="shared" si="1"/>
        <v>6</v>
      </c>
      <c r="H42" s="133">
        <f t="shared" ca="1" si="5"/>
        <v>0</v>
      </c>
      <c r="I42" s="133">
        <f t="shared" ca="1" si="2"/>
        <v>0</v>
      </c>
      <c r="K42" s="107" t="s">
        <v>83</v>
      </c>
      <c r="L42" s="21">
        <f t="shared" ca="1" si="22"/>
        <v>0</v>
      </c>
      <c r="M42" s="21">
        <f t="shared" ca="1" si="22"/>
        <v>0</v>
      </c>
      <c r="N42" s="21">
        <f t="shared" ca="1" si="22"/>
        <v>0</v>
      </c>
      <c r="O42" s="108">
        <f t="shared" ca="1" si="13"/>
        <v>0</v>
      </c>
      <c r="P42" s="110"/>
      <c r="Q42" s="109" t="s">
        <v>77</v>
      </c>
      <c r="R42" s="128" t="str">
        <f>Parameters!B87</f>
        <v>Kyber
arkkitehtuuri</v>
      </c>
      <c r="S42" s="120">
        <f t="shared" ca="1" si="17"/>
        <v>0</v>
      </c>
      <c r="T42" s="120">
        <f t="shared" ca="1" si="18"/>
        <v>0</v>
      </c>
      <c r="U42" s="120">
        <f t="shared" ca="1" si="19"/>
        <v>0</v>
      </c>
      <c r="V42" s="95"/>
      <c r="W42" s="983" t="str">
        <f ca="1">AB42&amp;"-"&amp;COUNTIF($AB$2:$AB42,$AB42)</f>
        <v>0-2-0-20</v>
      </c>
      <c r="X42" s="983" t="s">
        <v>308</v>
      </c>
      <c r="Y42" s="985">
        <f t="shared" ca="1" si="20"/>
        <v>0</v>
      </c>
      <c r="Z42" s="988">
        <v>2</v>
      </c>
      <c r="AA42" s="985">
        <f t="shared" ca="1" si="4"/>
        <v>0</v>
      </c>
      <c r="AB42" s="987" t="str">
        <f t="shared" ca="1" si="7"/>
        <v>0-2-0</v>
      </c>
    </row>
    <row r="43" spans="1:28" ht="15" customHeight="1" x14ac:dyDescent="0.2">
      <c r="A43" s="130" t="s">
        <v>77</v>
      </c>
      <c r="B43" s="130" t="s">
        <v>115</v>
      </c>
      <c r="C43" s="130" t="s">
        <v>309</v>
      </c>
      <c r="D43" s="974" t="s">
        <v>12</v>
      </c>
      <c r="E43" s="130">
        <v>2</v>
      </c>
      <c r="F43" s="100" t="str">
        <f t="shared" si="0"/>
        <v>ARCHITECTURE-12</v>
      </c>
      <c r="G43" s="100">
        <f t="shared" si="1"/>
        <v>6</v>
      </c>
      <c r="H43" s="133">
        <f t="shared" ca="1" si="5"/>
        <v>0</v>
      </c>
      <c r="I43" s="133">
        <f t="shared" ca="1" si="2"/>
        <v>0</v>
      </c>
      <c r="K43" s="107" t="s">
        <v>85</v>
      </c>
      <c r="L43" s="111">
        <v>1</v>
      </c>
      <c r="M43" s="21">
        <f ca="1">SUMIF($F:$F,CONCATENATE($K43,M$1),$I:$I) / VLOOKUP(CONCATENATE($K43,M$1),$F:$G,2,FALSE)</f>
        <v>0</v>
      </c>
      <c r="N43" s="21">
        <f ca="1">SUMIF($F:$F,CONCATENATE($K43,N$1),$I:$I) / VLOOKUP(CONCATENATE($K43,N$1),$F:$G,2,FALSE)</f>
        <v>0</v>
      </c>
      <c r="O43" s="108">
        <f t="shared" ca="1" si="13"/>
        <v>1</v>
      </c>
      <c r="P43" s="110"/>
      <c r="Q43" s="112" t="s">
        <v>79</v>
      </c>
      <c r="R43" s="128" t="str">
        <f>Parameters!B88</f>
        <v>Kyberturv.
hallinta</v>
      </c>
      <c r="S43" s="120">
        <f t="shared" ca="1" si="17"/>
        <v>0</v>
      </c>
      <c r="T43" s="120">
        <f t="shared" ca="1" si="18"/>
        <v>0</v>
      </c>
      <c r="U43" s="120">
        <f t="shared" ca="1" si="19"/>
        <v>0</v>
      </c>
      <c r="V43" s="95"/>
      <c r="W43" s="983" t="str">
        <f ca="1">AB43&amp;"-"&amp;COUNTIF($AB$2:$AB43,$AB43)</f>
        <v>0-2-0-21</v>
      </c>
      <c r="X43" s="983" t="s">
        <v>309</v>
      </c>
      <c r="Y43" s="985">
        <f t="shared" ca="1" si="20"/>
        <v>0</v>
      </c>
      <c r="Z43" s="988">
        <v>2</v>
      </c>
      <c r="AA43" s="985">
        <f t="shared" ca="1" si="4"/>
        <v>0</v>
      </c>
      <c r="AB43" s="987" t="str">
        <f t="shared" ca="1" si="7"/>
        <v>0-2-0</v>
      </c>
    </row>
    <row r="44" spans="1:28" ht="15" customHeight="1" x14ac:dyDescent="0.2">
      <c r="A44" s="130" t="s">
        <v>77</v>
      </c>
      <c r="B44" s="130" t="s">
        <v>115</v>
      </c>
      <c r="C44" s="130" t="s">
        <v>310</v>
      </c>
      <c r="D44" s="974" t="s">
        <v>13</v>
      </c>
      <c r="E44" s="130">
        <v>3</v>
      </c>
      <c r="F44" s="100" t="str">
        <f t="shared" si="0"/>
        <v>ARCHITECTURE-13</v>
      </c>
      <c r="G44" s="100">
        <f t="shared" si="1"/>
        <v>4</v>
      </c>
      <c r="H44" s="133">
        <f t="shared" ca="1" si="5"/>
        <v>0</v>
      </c>
      <c r="I44" s="133">
        <f t="shared" ca="1" si="2"/>
        <v>0</v>
      </c>
      <c r="K44" s="107" t="s">
        <v>87</v>
      </c>
      <c r="L44" s="111">
        <v>1</v>
      </c>
      <c r="M44" s="21">
        <f ca="1">SUMIF($F:$F,CONCATENATE($K44,M$1),$I:$I) / VLOOKUP(CONCATENATE($K44,M$1),$F:$G,2,FALSE)</f>
        <v>0</v>
      </c>
      <c r="N44" s="21">
        <f ca="1">SUMIF($F:$F,CONCATENATE($K44,N$1),$I:$I) / VLOOKUP(CONCATENATE($K44,N$1),$F:$G,2,FALSE)</f>
        <v>0</v>
      </c>
      <c r="O44" s="108">
        <f t="shared" ca="1" si="13"/>
        <v>1</v>
      </c>
      <c r="P44" s="110"/>
      <c r="Q44" s="95"/>
      <c r="R44" s="110"/>
      <c r="S44" s="95"/>
      <c r="T44" s="95"/>
      <c r="U44" s="110"/>
      <c r="V44" s="95"/>
      <c r="W44" s="983" t="str">
        <f ca="1">AB44&amp;"-"&amp;COUNTIF($AB$2:$AB44,$AB44)</f>
        <v>0-3-0-7</v>
      </c>
      <c r="X44" s="983" t="s">
        <v>310</v>
      </c>
      <c r="Y44" s="985">
        <f t="shared" ca="1" si="20"/>
        <v>0</v>
      </c>
      <c r="Z44" s="988">
        <v>3</v>
      </c>
      <c r="AA44" s="985">
        <f t="shared" ca="1" si="4"/>
        <v>0</v>
      </c>
      <c r="AB44" s="987" t="str">
        <f t="shared" ca="1" si="7"/>
        <v>0-3-0</v>
      </c>
    </row>
    <row r="45" spans="1:28" ht="15" customHeight="1" x14ac:dyDescent="0.2">
      <c r="A45" s="130" t="s">
        <v>77</v>
      </c>
      <c r="B45" s="130" t="s">
        <v>115</v>
      </c>
      <c r="C45" s="130" t="s">
        <v>311</v>
      </c>
      <c r="D45" s="974" t="s">
        <v>14</v>
      </c>
      <c r="E45" s="130">
        <v>3</v>
      </c>
      <c r="F45" s="100" t="str">
        <f t="shared" si="0"/>
        <v>ARCHITECTURE-13</v>
      </c>
      <c r="G45" s="100">
        <f t="shared" si="1"/>
        <v>4</v>
      </c>
      <c r="H45" s="133">
        <f t="shared" ca="1" si="5"/>
        <v>0</v>
      </c>
      <c r="I45" s="133">
        <f t="shared" ca="1" si="2"/>
        <v>0</v>
      </c>
      <c r="K45" s="101" t="s">
        <v>2619</v>
      </c>
      <c r="L45" s="710">
        <f ca="1">SUMIF($F:$F,CONCATENATE($K45,"-","?",L$1),$I:$I) /COUNTIF($F:$F,CONCATENATE($K45,"-","?",L$1))</f>
        <v>0</v>
      </c>
      <c r="M45" s="710">
        <f ca="1">SUMIF($F:$F,CONCATENATE($K45,"-","?",M$1),$I:$I) /COUNTIF($F:$F,CONCATENATE($K45,"-","?",M$1))</f>
        <v>0</v>
      </c>
      <c r="N45" s="710">
        <f ca="1">SUMIF($F:$F,CONCATENATE($K45,"-","?",N$1),$I:$I) /COUNTIF($F:$F,CONCATENATE($K45,"-","?",N$1))</f>
        <v>0</v>
      </c>
      <c r="O45" s="102">
        <f ca="1">MIN(O46:O48)</f>
        <v>0</v>
      </c>
      <c r="P45" s="128"/>
      <c r="Q45" s="95"/>
      <c r="R45" s="110"/>
      <c r="S45" s="95"/>
      <c r="T45" s="95"/>
      <c r="U45" s="110"/>
      <c r="V45" s="103"/>
      <c r="W45" s="983" t="str">
        <f ca="1">AB45&amp;"-"&amp;COUNTIF($AB$2:$AB45,$AB45)</f>
        <v>0-3-0-8</v>
      </c>
      <c r="X45" s="983" t="s">
        <v>311</v>
      </c>
      <c r="Y45" s="985">
        <f t="shared" ca="1" si="20"/>
        <v>0</v>
      </c>
      <c r="Z45" s="988">
        <v>3</v>
      </c>
      <c r="AA45" s="985">
        <f t="shared" ca="1" si="4"/>
        <v>0</v>
      </c>
      <c r="AB45" s="987" t="str">
        <f t="shared" ca="1" si="7"/>
        <v>0-3-0</v>
      </c>
    </row>
    <row r="46" spans="1:28" ht="15" customHeight="1" x14ac:dyDescent="0.2">
      <c r="A46" s="130" t="s">
        <v>77</v>
      </c>
      <c r="B46" s="130" t="s">
        <v>115</v>
      </c>
      <c r="C46" s="130" t="s">
        <v>992</v>
      </c>
      <c r="D46" s="974" t="s">
        <v>15</v>
      </c>
      <c r="E46" s="130">
        <v>3</v>
      </c>
      <c r="F46" s="100" t="str">
        <f t="shared" si="0"/>
        <v>ARCHITECTURE-13</v>
      </c>
      <c r="G46" s="100">
        <f t="shared" si="1"/>
        <v>4</v>
      </c>
      <c r="H46" s="133">
        <f t="shared" ca="1" si="5"/>
        <v>0</v>
      </c>
      <c r="I46" s="133">
        <f t="shared" ca="1" si="2"/>
        <v>0</v>
      </c>
      <c r="K46" s="107" t="s">
        <v>2621</v>
      </c>
      <c r="L46" s="21">
        <f t="shared" ref="L46:N47" ca="1" si="23">SUMIF($F:$F,CONCATENATE($K46,L$1),$I:$I) / VLOOKUP(CONCATENATE($K46,L$1),$F:$G,2,FALSE)</f>
        <v>0</v>
      </c>
      <c r="M46" s="21">
        <f t="shared" ca="1" si="23"/>
        <v>0</v>
      </c>
      <c r="N46" s="21">
        <f t="shared" ca="1" si="23"/>
        <v>0</v>
      </c>
      <c r="O46" s="108">
        <f t="shared" ca="1" si="13"/>
        <v>0</v>
      </c>
      <c r="P46" s="110"/>
      <c r="Q46" s="95"/>
      <c r="R46" s="110"/>
      <c r="S46" s="95"/>
      <c r="T46" s="95"/>
      <c r="U46" s="110"/>
      <c r="V46" s="95"/>
      <c r="W46" s="983" t="str">
        <f ca="1">AB46&amp;"-"&amp;COUNTIF($AB$2:$AB46,$AB46)</f>
        <v>0-3-0-9</v>
      </c>
      <c r="X46" s="983" t="s">
        <v>992</v>
      </c>
      <c r="Y46" s="985">
        <f t="shared" ca="1" si="20"/>
        <v>0</v>
      </c>
      <c r="Z46" s="988">
        <v>3</v>
      </c>
      <c r="AA46" s="985">
        <f t="shared" ca="1" si="4"/>
        <v>0</v>
      </c>
      <c r="AB46" s="987" t="str">
        <f t="shared" ca="1" si="7"/>
        <v>0-3-0</v>
      </c>
    </row>
    <row r="47" spans="1:28" ht="15" customHeight="1" x14ac:dyDescent="0.2">
      <c r="A47" s="130" t="s">
        <v>77</v>
      </c>
      <c r="B47" s="130" t="s">
        <v>115</v>
      </c>
      <c r="C47" s="130" t="s">
        <v>2610</v>
      </c>
      <c r="D47" s="974" t="s">
        <v>186</v>
      </c>
      <c r="E47" s="130">
        <v>3</v>
      </c>
      <c r="F47" s="100" t="str">
        <f t="shared" si="0"/>
        <v>ARCHITECTURE-13</v>
      </c>
      <c r="G47" s="100">
        <f t="shared" si="1"/>
        <v>4</v>
      </c>
      <c r="H47" s="133">
        <f t="shared" ca="1" si="5"/>
        <v>0</v>
      </c>
      <c r="I47" s="133">
        <f t="shared" ref="I47" ca="1" si="24">IFERROR(IF(H47&gt;2,1,0),0)</f>
        <v>0</v>
      </c>
      <c r="K47" s="107" t="s">
        <v>2629</v>
      </c>
      <c r="L47" s="21">
        <f t="shared" ca="1" si="23"/>
        <v>0</v>
      </c>
      <c r="M47" s="21">
        <f t="shared" ca="1" si="23"/>
        <v>0</v>
      </c>
      <c r="N47" s="21">
        <f t="shared" ca="1" si="23"/>
        <v>0</v>
      </c>
      <c r="O47" s="108">
        <f t="shared" ca="1" si="13"/>
        <v>0</v>
      </c>
      <c r="P47" s="110"/>
      <c r="Q47" s="95"/>
      <c r="R47" s="110"/>
      <c r="S47" s="95"/>
      <c r="T47" s="95"/>
      <c r="U47" s="110"/>
      <c r="V47" s="95"/>
      <c r="W47" s="983" t="str">
        <f ca="1">AB47&amp;"-"&amp;COUNTIF($AB$2:$AB47,$AB47)</f>
        <v>0-3-0-10</v>
      </c>
      <c r="X47" s="983" t="s">
        <v>2610</v>
      </c>
      <c r="Y47" s="985">
        <f t="shared" ca="1" si="20"/>
        <v>0</v>
      </c>
      <c r="Z47" s="988">
        <v>3</v>
      </c>
      <c r="AA47" s="985">
        <f t="shared" ca="1" si="4"/>
        <v>0</v>
      </c>
      <c r="AB47" s="987" t="str">
        <f t="shared" ca="1" si="7"/>
        <v>0-3-0</v>
      </c>
    </row>
    <row r="48" spans="1:28" ht="15" customHeight="1" x14ac:dyDescent="0.2">
      <c r="A48" s="130" t="s">
        <v>77</v>
      </c>
      <c r="B48" s="130" t="s">
        <v>118</v>
      </c>
      <c r="C48" s="130" t="s">
        <v>312</v>
      </c>
      <c r="D48" s="974" t="s">
        <v>17</v>
      </c>
      <c r="E48" s="130">
        <v>1</v>
      </c>
      <c r="F48" s="100" t="str">
        <f t="shared" si="0"/>
        <v>ARCHITECTURE-21</v>
      </c>
      <c r="G48" s="100">
        <f t="shared" si="1"/>
        <v>2</v>
      </c>
      <c r="H48" s="133">
        <f t="shared" ca="1" si="5"/>
        <v>0</v>
      </c>
      <c r="I48" s="133">
        <f t="shared" ca="1" si="2"/>
        <v>0</v>
      </c>
      <c r="K48" s="107" t="s">
        <v>2644</v>
      </c>
      <c r="L48" s="111">
        <v>1</v>
      </c>
      <c r="M48" s="21">
        <f ca="1">SUMIF($F:$F,CONCATENATE($K48,M$1),$I:$I) / VLOOKUP(CONCATENATE($K48,M$1),$F:$G,2,FALSE)</f>
        <v>0</v>
      </c>
      <c r="N48" s="21">
        <f ca="1">SUMIF($F:$F,CONCATENATE($K48,N$1),$I:$I) / VLOOKUP(CONCATENATE($K48,N$1),$F:$G,2,FALSE)</f>
        <v>0</v>
      </c>
      <c r="O48" s="108">
        <f t="shared" ca="1" si="13"/>
        <v>1</v>
      </c>
      <c r="P48" s="110"/>
      <c r="Q48" s="95"/>
      <c r="R48" s="95"/>
      <c r="S48" s="95"/>
      <c r="T48" s="95"/>
      <c r="U48" s="110"/>
      <c r="V48" s="95"/>
      <c r="W48" s="983" t="str">
        <f ca="1">AB48&amp;"-"&amp;COUNTIF($AB$2:$AB48,$AB48)</f>
        <v>0-1-0-10</v>
      </c>
      <c r="X48" s="983" t="s">
        <v>312</v>
      </c>
      <c r="Y48" s="985">
        <f t="shared" ca="1" si="20"/>
        <v>0</v>
      </c>
      <c r="Z48" s="988">
        <v>1</v>
      </c>
      <c r="AA48" s="985">
        <f t="shared" ca="1" si="4"/>
        <v>0</v>
      </c>
      <c r="AB48" s="987" t="str">
        <f t="shared" ca="1" si="7"/>
        <v>0-1-0</v>
      </c>
    </row>
    <row r="49" spans="1:28" ht="15" customHeight="1" x14ac:dyDescent="0.2">
      <c r="A49" s="130" t="s">
        <v>77</v>
      </c>
      <c r="B49" s="130" t="s">
        <v>118</v>
      </c>
      <c r="C49" s="130" t="s">
        <v>313</v>
      </c>
      <c r="D49" s="974" t="s">
        <v>18</v>
      </c>
      <c r="E49" s="130">
        <v>1</v>
      </c>
      <c r="F49" s="100" t="str">
        <f t="shared" si="0"/>
        <v>ARCHITECTURE-21</v>
      </c>
      <c r="G49" s="100">
        <f t="shared" si="1"/>
        <v>2</v>
      </c>
      <c r="H49" s="133">
        <f t="shared" ca="1" si="5"/>
        <v>0</v>
      </c>
      <c r="I49" s="133">
        <f t="shared" ca="1" si="2"/>
        <v>0</v>
      </c>
      <c r="K49" s="101" t="s">
        <v>64</v>
      </c>
      <c r="L49" s="710">
        <f ca="1">SUMIF($F:$F,CONCATENATE($K49,"-","?",L$1),$I:$I) /COUNTIF($F:$F,CONCATENATE($K49,"-","?",L$1))</f>
        <v>0</v>
      </c>
      <c r="M49" s="710">
        <f ca="1">SUMIF($F:$F,CONCATENATE($K49,"-","?",M$1),$I:$I) /COUNTIF($F:$F,CONCATENATE($K49,"-","?",M$1))</f>
        <v>0</v>
      </c>
      <c r="N49" s="710">
        <f ca="1">SUMIF($F:$F,CONCATENATE($K49,"-","?",N$1),$I:$I) /COUNTIF($F:$F,CONCATENATE($K49,"-","?",N$1))</f>
        <v>0</v>
      </c>
      <c r="O49" s="102">
        <f ca="1">MIN(O50:O52)</f>
        <v>0</v>
      </c>
      <c r="P49" s="128"/>
      <c r="Q49" s="95"/>
      <c r="R49" s="95"/>
      <c r="S49" s="95"/>
      <c r="T49" s="95"/>
      <c r="U49" s="95"/>
      <c r="V49" s="103"/>
      <c r="W49" s="983" t="str">
        <f ca="1">AB49&amp;"-"&amp;COUNTIF($AB$2:$AB49,$AB49)</f>
        <v>0-1-0-11</v>
      </c>
      <c r="X49" s="983" t="s">
        <v>313</v>
      </c>
      <c r="Y49" s="985">
        <f t="shared" ca="1" si="20"/>
        <v>0</v>
      </c>
      <c r="Z49" s="988">
        <v>1</v>
      </c>
      <c r="AA49" s="985">
        <f t="shared" ca="1" si="4"/>
        <v>0</v>
      </c>
      <c r="AB49" s="987" t="str">
        <f t="shared" ca="1" si="7"/>
        <v>0-1-0</v>
      </c>
    </row>
    <row r="50" spans="1:28" ht="15" customHeight="1" x14ac:dyDescent="0.2">
      <c r="A50" s="130" t="s">
        <v>77</v>
      </c>
      <c r="B50" s="130" t="s">
        <v>118</v>
      </c>
      <c r="C50" s="130" t="s">
        <v>314</v>
      </c>
      <c r="D50" s="974" t="s">
        <v>19</v>
      </c>
      <c r="E50" s="130">
        <v>2</v>
      </c>
      <c r="F50" s="100" t="str">
        <f t="shared" si="0"/>
        <v>ARCHITECTURE-22</v>
      </c>
      <c r="G50" s="100">
        <f t="shared" si="1"/>
        <v>5</v>
      </c>
      <c r="H50" s="133">
        <f t="shared" ca="1" si="5"/>
        <v>0</v>
      </c>
      <c r="I50" s="133">
        <f t="shared" ca="1" si="2"/>
        <v>0</v>
      </c>
      <c r="K50" s="107" t="s">
        <v>71</v>
      </c>
      <c r="L50" s="21">
        <f t="shared" ref="L50:N51" ca="1" si="25">SUMIF($F:$F,CONCATENATE($K50,L$1),$I:$I) / VLOOKUP(CONCATENATE($K50,L$1),$F:$G,2,FALSE)</f>
        <v>0</v>
      </c>
      <c r="M50" s="21">
        <f t="shared" ca="1" si="25"/>
        <v>0</v>
      </c>
      <c r="N50" s="21">
        <f t="shared" ca="1" si="25"/>
        <v>0</v>
      </c>
      <c r="O50" s="108">
        <f t="shared" ca="1" si="13"/>
        <v>0</v>
      </c>
      <c r="P50" s="110"/>
      <c r="Q50" s="95"/>
      <c r="R50" s="95"/>
      <c r="S50" s="95"/>
      <c r="T50" s="95"/>
      <c r="U50" s="95"/>
      <c r="V50" s="95"/>
      <c r="W50" s="983" t="str">
        <f ca="1">AB50&amp;"-"&amp;COUNTIF($AB$2:$AB50,$AB50)</f>
        <v>0-2-0-22</v>
      </c>
      <c r="X50" s="983" t="s">
        <v>314</v>
      </c>
      <c r="Y50" s="985">
        <f t="shared" ca="1" si="20"/>
        <v>0</v>
      </c>
      <c r="Z50" s="988">
        <v>2</v>
      </c>
      <c r="AA50" s="985">
        <f t="shared" ca="1" si="4"/>
        <v>0</v>
      </c>
      <c r="AB50" s="987" t="str">
        <f t="shared" ca="1" si="7"/>
        <v>0-2-0</v>
      </c>
    </row>
    <row r="51" spans="1:28" ht="15" customHeight="1" x14ac:dyDescent="0.2">
      <c r="A51" s="130" t="s">
        <v>77</v>
      </c>
      <c r="B51" s="130" t="s">
        <v>118</v>
      </c>
      <c r="C51" s="130" t="s">
        <v>993</v>
      </c>
      <c r="D51" s="974" t="s">
        <v>20</v>
      </c>
      <c r="E51" s="130">
        <v>2</v>
      </c>
      <c r="F51" s="100" t="str">
        <f t="shared" si="0"/>
        <v>ARCHITECTURE-22</v>
      </c>
      <c r="G51" s="100">
        <f t="shared" si="1"/>
        <v>5</v>
      </c>
      <c r="H51" s="133">
        <f t="shared" ca="1" si="5"/>
        <v>0</v>
      </c>
      <c r="I51" s="133">
        <f t="shared" ca="1" si="2"/>
        <v>0</v>
      </c>
      <c r="K51" s="107" t="s">
        <v>73</v>
      </c>
      <c r="L51" s="21">
        <f t="shared" ca="1" si="25"/>
        <v>0</v>
      </c>
      <c r="M51" s="21">
        <f t="shared" ca="1" si="25"/>
        <v>0</v>
      </c>
      <c r="N51" s="21">
        <f t="shared" ca="1" si="25"/>
        <v>0</v>
      </c>
      <c r="O51" s="108">
        <f t="shared" ca="1" si="13"/>
        <v>0</v>
      </c>
      <c r="P51" s="110"/>
      <c r="Q51" s="95"/>
      <c r="R51" s="95"/>
      <c r="S51" s="95"/>
      <c r="T51" s="95"/>
      <c r="U51" s="95"/>
      <c r="V51" s="95"/>
      <c r="W51" s="983" t="str">
        <f ca="1">AB51&amp;"-"&amp;COUNTIF($AB$2:$AB51,$AB51)</f>
        <v>0-2-0-23</v>
      </c>
      <c r="X51" s="983" t="s">
        <v>993</v>
      </c>
      <c r="Y51" s="985">
        <f t="shared" ca="1" si="20"/>
        <v>0</v>
      </c>
      <c r="Z51" s="988">
        <v>2</v>
      </c>
      <c r="AA51" s="985">
        <f t="shared" ca="1" si="4"/>
        <v>0</v>
      </c>
      <c r="AB51" s="987" t="str">
        <f t="shared" ca="1" si="7"/>
        <v>0-2-0</v>
      </c>
    </row>
    <row r="52" spans="1:28" ht="15" customHeight="1" x14ac:dyDescent="0.2">
      <c r="A52" s="130" t="s">
        <v>77</v>
      </c>
      <c r="B52" s="130" t="s">
        <v>118</v>
      </c>
      <c r="C52" s="130" t="s">
        <v>994</v>
      </c>
      <c r="D52" s="974" t="s">
        <v>21</v>
      </c>
      <c r="E52" s="130">
        <v>2</v>
      </c>
      <c r="F52" s="100" t="str">
        <f t="shared" si="0"/>
        <v>ARCHITECTURE-22</v>
      </c>
      <c r="G52" s="100">
        <f t="shared" si="1"/>
        <v>5</v>
      </c>
      <c r="H52" s="133">
        <f t="shared" ca="1" si="5"/>
        <v>0</v>
      </c>
      <c r="I52" s="133">
        <f t="shared" ca="1" si="2"/>
        <v>0</v>
      </c>
      <c r="K52" s="107" t="s">
        <v>76</v>
      </c>
      <c r="L52" s="111">
        <v>1</v>
      </c>
      <c r="M52" s="21">
        <f ca="1">SUMIF($F:$F,CONCATENATE($K52,M$1),$I:$I) / VLOOKUP(CONCATENATE($K52,M$1),$F:$G,2,FALSE)</f>
        <v>0</v>
      </c>
      <c r="N52" s="21">
        <f ca="1">SUMIF($F:$F,CONCATENATE($K52,N$1),$I:$I) / VLOOKUP(CONCATENATE($K52,N$1),$F:$G,2,FALSE)</f>
        <v>0</v>
      </c>
      <c r="O52" s="108">
        <f t="shared" ca="1" si="13"/>
        <v>1</v>
      </c>
      <c r="P52" s="110"/>
      <c r="Q52" s="95"/>
      <c r="R52" s="641"/>
      <c r="S52" s="95"/>
      <c r="T52" s="95"/>
      <c r="U52" s="95"/>
      <c r="V52" s="95"/>
      <c r="W52" s="983" t="str">
        <f ca="1">AB52&amp;"-"&amp;COUNTIF($AB$2:$AB52,$AB52)</f>
        <v>0-2-0-24</v>
      </c>
      <c r="X52" s="983" t="s">
        <v>994</v>
      </c>
      <c r="Y52" s="985">
        <f t="shared" ca="1" si="20"/>
        <v>0</v>
      </c>
      <c r="Z52" s="988">
        <v>2</v>
      </c>
      <c r="AA52" s="985">
        <f t="shared" ca="1" si="4"/>
        <v>0</v>
      </c>
      <c r="AB52" s="987" t="str">
        <f t="shared" ca="1" si="7"/>
        <v>0-2-0</v>
      </c>
    </row>
    <row r="53" spans="1:28" ht="15" customHeight="1" x14ac:dyDescent="0.2">
      <c r="A53" s="130" t="s">
        <v>77</v>
      </c>
      <c r="B53" s="130" t="s">
        <v>118</v>
      </c>
      <c r="C53" s="130" t="s">
        <v>995</v>
      </c>
      <c r="D53" s="974" t="s">
        <v>103</v>
      </c>
      <c r="E53" s="130">
        <v>2</v>
      </c>
      <c r="F53" s="100" t="str">
        <f t="shared" si="0"/>
        <v>ARCHITECTURE-22</v>
      </c>
      <c r="G53" s="100">
        <f t="shared" si="1"/>
        <v>5</v>
      </c>
      <c r="H53" s="133">
        <f t="shared" ca="1" si="5"/>
        <v>0</v>
      </c>
      <c r="I53" s="133">
        <f t="shared" ca="1" si="2"/>
        <v>0</v>
      </c>
      <c r="K53" s="101" t="s">
        <v>74</v>
      </c>
      <c r="L53" s="710">
        <f ca="1">SUMIF($F:$F,CONCATENATE($K53,"-","?",L$1),$I:$I) /COUNTIF($F:$F,CONCATENATE($K53,"-","?",L$1))</f>
        <v>0</v>
      </c>
      <c r="M53" s="710">
        <f ca="1">SUMIF($F:$F,CONCATENATE($K53,"-","?",M$1),$I:$I) /COUNTIF($F:$F,CONCATENATE($K53,"-","?",M$1))</f>
        <v>0</v>
      </c>
      <c r="N53" s="710">
        <f ca="1">SUMIF($F:$F,CONCATENATE($K53,"-","?",N$1),$I:$I) /COUNTIF($F:$F,CONCATENATE($K53,"-","?",N$1))</f>
        <v>0</v>
      </c>
      <c r="O53" s="102">
        <f ca="1">MIN(O54:O58)</f>
        <v>0</v>
      </c>
      <c r="P53" s="110"/>
      <c r="Q53" s="95"/>
      <c r="R53" s="642"/>
      <c r="S53" s="95"/>
      <c r="T53" s="95"/>
      <c r="U53" s="95"/>
      <c r="V53" s="95"/>
      <c r="W53" s="983" t="str">
        <f ca="1">AB53&amp;"-"&amp;COUNTIF($AB$2:$AB53,$AB53)</f>
        <v>0-2-0-25</v>
      </c>
      <c r="X53" s="983" t="s">
        <v>995</v>
      </c>
      <c r="Y53" s="985">
        <f t="shared" ca="1" si="20"/>
        <v>0</v>
      </c>
      <c r="Z53" s="988">
        <v>2</v>
      </c>
      <c r="AA53" s="985">
        <f t="shared" ca="1" si="4"/>
        <v>0</v>
      </c>
      <c r="AB53" s="987" t="str">
        <f t="shared" ca="1" si="7"/>
        <v>0-2-0</v>
      </c>
    </row>
    <row r="54" spans="1:28" ht="15" customHeight="1" x14ac:dyDescent="0.2">
      <c r="A54" s="130" t="s">
        <v>77</v>
      </c>
      <c r="B54" s="130" t="s">
        <v>118</v>
      </c>
      <c r="C54" s="130" t="s">
        <v>996</v>
      </c>
      <c r="D54" s="974" t="s">
        <v>165</v>
      </c>
      <c r="E54" s="130">
        <v>2</v>
      </c>
      <c r="F54" s="100" t="str">
        <f t="shared" si="0"/>
        <v>ARCHITECTURE-22</v>
      </c>
      <c r="G54" s="100">
        <f t="shared" si="1"/>
        <v>5</v>
      </c>
      <c r="H54" s="133">
        <f t="shared" ca="1" si="5"/>
        <v>0</v>
      </c>
      <c r="I54" s="133">
        <f t="shared" ca="1" si="2"/>
        <v>0</v>
      </c>
      <c r="K54" s="107" t="s">
        <v>104</v>
      </c>
      <c r="L54" s="21">
        <f t="shared" ref="L54:N57" ca="1" si="26">SUMIF($F:$F,CONCATENATE($K54,L$1),$I:$I) / VLOOKUP(CONCATENATE($K54,L$1),$F:$G,2,FALSE)</f>
        <v>0</v>
      </c>
      <c r="M54" s="21">
        <f t="shared" ca="1" si="26"/>
        <v>0</v>
      </c>
      <c r="N54" s="21">
        <f t="shared" ca="1" si="26"/>
        <v>0</v>
      </c>
      <c r="O54" s="108">
        <f t="shared" ca="1" si="13"/>
        <v>0</v>
      </c>
      <c r="P54" s="110"/>
      <c r="Q54" s="95"/>
      <c r="R54" s="643"/>
      <c r="S54" s="95"/>
      <c r="T54" s="95"/>
      <c r="U54" s="95"/>
      <c r="V54" s="95"/>
      <c r="W54" s="983" t="str">
        <f ca="1">AB54&amp;"-"&amp;COUNTIF($AB$2:$AB54,$AB54)</f>
        <v>0-2-0-26</v>
      </c>
      <c r="X54" s="983" t="s">
        <v>996</v>
      </c>
      <c r="Y54" s="985">
        <f t="shared" ca="1" si="20"/>
        <v>0</v>
      </c>
      <c r="Z54" s="988">
        <v>2</v>
      </c>
      <c r="AA54" s="985">
        <f t="shared" ca="1" si="4"/>
        <v>0</v>
      </c>
      <c r="AB54" s="987" t="str">
        <f t="shared" ca="1" si="7"/>
        <v>0-2-0</v>
      </c>
    </row>
    <row r="55" spans="1:28" ht="15" customHeight="1" x14ac:dyDescent="0.2">
      <c r="A55" s="130" t="s">
        <v>77</v>
      </c>
      <c r="B55" s="130" t="s">
        <v>118</v>
      </c>
      <c r="C55" s="130" t="s">
        <v>997</v>
      </c>
      <c r="D55" s="974" t="s">
        <v>167</v>
      </c>
      <c r="E55" s="130">
        <v>3</v>
      </c>
      <c r="F55" s="100" t="str">
        <f t="shared" si="0"/>
        <v>ARCHITECTURE-23</v>
      </c>
      <c r="G55" s="100">
        <f t="shared" si="1"/>
        <v>5</v>
      </c>
      <c r="H55" s="133">
        <f t="shared" ca="1" si="5"/>
        <v>0</v>
      </c>
      <c r="I55" s="133">
        <f t="shared" ca="1" si="2"/>
        <v>0</v>
      </c>
      <c r="K55" s="107" t="s">
        <v>106</v>
      </c>
      <c r="L55" s="21">
        <f t="shared" ca="1" si="26"/>
        <v>0</v>
      </c>
      <c r="M55" s="21">
        <f t="shared" ca="1" si="26"/>
        <v>0</v>
      </c>
      <c r="N55" s="21">
        <f t="shared" ca="1" si="26"/>
        <v>0</v>
      </c>
      <c r="O55" s="108">
        <f t="shared" ca="1" si="13"/>
        <v>0</v>
      </c>
      <c r="R55" s="643"/>
      <c r="W55" s="983" t="str">
        <f ca="1">AB55&amp;"-"&amp;COUNTIF($AB$2:$AB55,$AB55)</f>
        <v>0-3-0-11</v>
      </c>
      <c r="X55" s="983" t="s">
        <v>997</v>
      </c>
      <c r="Y55" s="985">
        <f t="shared" ca="1" si="20"/>
        <v>0</v>
      </c>
      <c r="Z55" s="988">
        <v>3</v>
      </c>
      <c r="AA55" s="985">
        <f t="shared" ca="1" si="4"/>
        <v>0</v>
      </c>
      <c r="AB55" s="987" t="str">
        <f t="shared" ca="1" si="7"/>
        <v>0-3-0</v>
      </c>
    </row>
    <row r="56" spans="1:28" ht="15" customHeight="1" x14ac:dyDescent="0.2">
      <c r="A56" s="130" t="s">
        <v>77</v>
      </c>
      <c r="B56" s="130" t="s">
        <v>118</v>
      </c>
      <c r="C56" s="130" t="s">
        <v>998</v>
      </c>
      <c r="D56" s="974" t="s">
        <v>198</v>
      </c>
      <c r="E56" s="130">
        <v>3</v>
      </c>
      <c r="F56" s="100" t="str">
        <f t="shared" si="0"/>
        <v>ARCHITECTURE-23</v>
      </c>
      <c r="G56" s="100">
        <f t="shared" si="1"/>
        <v>5</v>
      </c>
      <c r="H56" s="133">
        <f t="shared" ca="1" si="5"/>
        <v>0</v>
      </c>
      <c r="I56" s="133">
        <f t="shared" ca="1" si="2"/>
        <v>0</v>
      </c>
      <c r="K56" s="107" t="s">
        <v>108</v>
      </c>
      <c r="L56" s="21">
        <f t="shared" ca="1" si="26"/>
        <v>0</v>
      </c>
      <c r="M56" s="21">
        <f t="shared" ca="1" si="26"/>
        <v>0</v>
      </c>
      <c r="N56" s="21">
        <f t="shared" ca="1" si="26"/>
        <v>0</v>
      </c>
      <c r="O56" s="108">
        <f t="shared" ca="1" si="13"/>
        <v>0</v>
      </c>
      <c r="Q56" s="120"/>
      <c r="R56" s="643"/>
      <c r="S56" s="120"/>
      <c r="T56" s="120"/>
      <c r="U56" s="120"/>
      <c r="V56" s="120"/>
      <c r="W56" s="983" t="str">
        <f ca="1">AB56&amp;"-"&amp;COUNTIF($AB$2:$AB56,$AB56)</f>
        <v>0-3-0-12</v>
      </c>
      <c r="X56" s="983" t="s">
        <v>998</v>
      </c>
      <c r="Y56" s="985">
        <f t="shared" ca="1" si="20"/>
        <v>0</v>
      </c>
      <c r="Z56" s="988">
        <v>3</v>
      </c>
      <c r="AA56" s="985">
        <f t="shared" ca="1" si="4"/>
        <v>0</v>
      </c>
      <c r="AB56" s="987" t="str">
        <f t="shared" ca="1" si="7"/>
        <v>0-3-0</v>
      </c>
    </row>
    <row r="57" spans="1:28" ht="15" customHeight="1" x14ac:dyDescent="0.2">
      <c r="A57" s="130" t="s">
        <v>77</v>
      </c>
      <c r="B57" s="130" t="s">
        <v>118</v>
      </c>
      <c r="C57" s="130" t="s">
        <v>999</v>
      </c>
      <c r="D57" s="974" t="s">
        <v>200</v>
      </c>
      <c r="E57" s="130">
        <v>3</v>
      </c>
      <c r="F57" s="100" t="str">
        <f t="shared" si="0"/>
        <v>ARCHITECTURE-23</v>
      </c>
      <c r="G57" s="100">
        <f t="shared" si="1"/>
        <v>5</v>
      </c>
      <c r="H57" s="133">
        <f t="shared" ca="1" si="5"/>
        <v>0</v>
      </c>
      <c r="I57" s="133">
        <f t="shared" ca="1" si="2"/>
        <v>0</v>
      </c>
      <c r="K57" s="107" t="s">
        <v>110</v>
      </c>
      <c r="L57" s="21">
        <f t="shared" ca="1" si="26"/>
        <v>0</v>
      </c>
      <c r="M57" s="21">
        <f t="shared" ca="1" si="26"/>
        <v>0</v>
      </c>
      <c r="N57" s="21">
        <f t="shared" ca="1" si="26"/>
        <v>0</v>
      </c>
      <c r="O57" s="108">
        <f t="shared" ca="1" si="13"/>
        <v>0</v>
      </c>
      <c r="R57" s="643"/>
      <c r="W57" s="983" t="str">
        <f ca="1">AB57&amp;"-"&amp;COUNTIF($AB$2:$AB57,$AB57)</f>
        <v>0-3-0-13</v>
      </c>
      <c r="X57" s="983" t="s">
        <v>999</v>
      </c>
      <c r="Y57" s="985">
        <f t="shared" ca="1" si="20"/>
        <v>0</v>
      </c>
      <c r="Z57" s="988">
        <v>3</v>
      </c>
      <c r="AA57" s="985">
        <f t="shared" ca="1" si="4"/>
        <v>0</v>
      </c>
      <c r="AB57" s="987" t="str">
        <f t="shared" ca="1" si="7"/>
        <v>0-3-0</v>
      </c>
    </row>
    <row r="58" spans="1:28" ht="15" customHeight="1" x14ac:dyDescent="0.2">
      <c r="A58" s="130" t="s">
        <v>77</v>
      </c>
      <c r="B58" s="130" t="s">
        <v>118</v>
      </c>
      <c r="C58" s="130" t="s">
        <v>1000</v>
      </c>
      <c r="D58" s="974" t="s">
        <v>202</v>
      </c>
      <c r="E58" s="130">
        <v>3</v>
      </c>
      <c r="F58" s="100" t="str">
        <f t="shared" si="0"/>
        <v>ARCHITECTURE-23</v>
      </c>
      <c r="G58" s="100">
        <f t="shared" si="1"/>
        <v>5</v>
      </c>
      <c r="H58" s="133">
        <f t="shared" ca="1" si="5"/>
        <v>0</v>
      </c>
      <c r="I58" s="133">
        <f t="shared" ca="1" si="2"/>
        <v>0</v>
      </c>
      <c r="K58" s="107" t="s">
        <v>112</v>
      </c>
      <c r="L58" s="111">
        <v>1</v>
      </c>
      <c r="M58" s="21">
        <f ca="1">SUMIF($F:$F,CONCATENATE($K58,M$1),$I:$I) / VLOOKUP(CONCATENATE($K58,M$1),$F:$G,2,FALSE)</f>
        <v>0</v>
      </c>
      <c r="N58" s="21">
        <f ca="1">SUMIF($F:$F,CONCATENATE($K58,N$1),$I:$I) / VLOOKUP(CONCATENATE($K58,N$1),$F:$G,2,FALSE)</f>
        <v>0</v>
      </c>
      <c r="O58" s="108">
        <f t="shared" ca="1" si="13"/>
        <v>1</v>
      </c>
      <c r="R58" s="642"/>
      <c r="W58" s="983" t="str">
        <f ca="1">AB58&amp;"-"&amp;COUNTIF($AB$2:$AB58,$AB58)</f>
        <v>0-3-0-14</v>
      </c>
      <c r="X58" s="983" t="s">
        <v>1000</v>
      </c>
      <c r="Y58" s="985">
        <f t="shared" ca="1" si="20"/>
        <v>0</v>
      </c>
      <c r="Z58" s="988">
        <v>3</v>
      </c>
      <c r="AA58" s="985">
        <f t="shared" ca="1" si="4"/>
        <v>0</v>
      </c>
      <c r="AB58" s="987" t="str">
        <f t="shared" ca="1" si="7"/>
        <v>0-3-0</v>
      </c>
    </row>
    <row r="59" spans="1:28" ht="15" customHeight="1" x14ac:dyDescent="0.2">
      <c r="A59" s="130" t="s">
        <v>77</v>
      </c>
      <c r="B59" s="130" t="s">
        <v>118</v>
      </c>
      <c r="C59" s="130" t="s">
        <v>1001</v>
      </c>
      <c r="D59" s="974" t="s">
        <v>203</v>
      </c>
      <c r="E59" s="130">
        <v>3</v>
      </c>
      <c r="F59" s="100" t="str">
        <f t="shared" si="0"/>
        <v>ARCHITECTURE-23</v>
      </c>
      <c r="G59" s="100">
        <f t="shared" si="1"/>
        <v>5</v>
      </c>
      <c r="H59" s="133">
        <f t="shared" ca="1" si="5"/>
        <v>0</v>
      </c>
      <c r="I59" s="133">
        <f t="shared" ca="1" si="2"/>
        <v>0</v>
      </c>
      <c r="R59" s="643"/>
      <c r="W59" s="983" t="str">
        <f ca="1">AB59&amp;"-"&amp;COUNTIF($AB$2:$AB59,$AB59)</f>
        <v>0-3-0-15</v>
      </c>
      <c r="X59" s="983" t="s">
        <v>1001</v>
      </c>
      <c r="Y59" s="985">
        <f t="shared" ca="1" si="20"/>
        <v>0</v>
      </c>
      <c r="Z59" s="988">
        <v>3</v>
      </c>
      <c r="AA59" s="985">
        <f t="shared" ca="1" si="4"/>
        <v>0</v>
      </c>
      <c r="AB59" s="987" t="str">
        <f t="shared" ca="1" si="7"/>
        <v>0-3-0</v>
      </c>
    </row>
    <row r="60" spans="1:28" ht="15" customHeight="1" thickBot="1" x14ac:dyDescent="0.25">
      <c r="A60" s="130" t="s">
        <v>77</v>
      </c>
      <c r="B60" s="130" t="s">
        <v>121</v>
      </c>
      <c r="C60" s="130" t="s">
        <v>315</v>
      </c>
      <c r="D60" s="974" t="s">
        <v>22</v>
      </c>
      <c r="E60" s="130">
        <v>1</v>
      </c>
      <c r="F60" s="100" t="str">
        <f t="shared" si="0"/>
        <v>ARCHITECTURE-31</v>
      </c>
      <c r="G60" s="100">
        <f t="shared" si="1"/>
        <v>2</v>
      </c>
      <c r="H60" s="133">
        <f t="shared" ca="1" si="5"/>
        <v>0</v>
      </c>
      <c r="I60" s="133">
        <f t="shared" ca="1" si="2"/>
        <v>0</v>
      </c>
      <c r="R60" s="643"/>
      <c r="W60" s="983" t="str">
        <f ca="1">AB60&amp;"-"&amp;COUNTIF($AB$2:$AB60,$AB60)</f>
        <v>0-1-0-12</v>
      </c>
      <c r="X60" s="983" t="s">
        <v>315</v>
      </c>
      <c r="Y60" s="985">
        <f t="shared" ca="1" si="20"/>
        <v>0</v>
      </c>
      <c r="Z60" s="988">
        <v>1</v>
      </c>
      <c r="AA60" s="985">
        <f t="shared" ca="1" si="4"/>
        <v>0</v>
      </c>
      <c r="AB60" s="987" t="str">
        <f t="shared" ca="1" si="7"/>
        <v>0-1-0</v>
      </c>
    </row>
    <row r="61" spans="1:28" ht="15" customHeight="1" thickBot="1" x14ac:dyDescent="0.25">
      <c r="A61" s="130" t="s">
        <v>77</v>
      </c>
      <c r="B61" s="130" t="s">
        <v>121</v>
      </c>
      <c r="C61" s="130" t="s">
        <v>316</v>
      </c>
      <c r="D61" s="974" t="s">
        <v>23</v>
      </c>
      <c r="E61" s="130">
        <v>1</v>
      </c>
      <c r="F61" s="100" t="str">
        <f t="shared" si="0"/>
        <v>ARCHITECTURE-31</v>
      </c>
      <c r="G61" s="100">
        <f t="shared" si="1"/>
        <v>2</v>
      </c>
      <c r="H61" s="133">
        <f t="shared" ca="1" si="5"/>
        <v>0</v>
      </c>
      <c r="I61" s="133">
        <f t="shared" ca="1" si="2"/>
        <v>0</v>
      </c>
      <c r="O61" s="124">
        <f>Parameters!B3</f>
        <v>0.5</v>
      </c>
      <c r="R61" s="643"/>
      <c r="W61" s="983" t="str">
        <f ca="1">AB61&amp;"-"&amp;COUNTIF($AB$2:$AB61,$AB61)</f>
        <v>0-1-0-13</v>
      </c>
      <c r="X61" s="983" t="s">
        <v>316</v>
      </c>
      <c r="Y61" s="985">
        <f t="shared" ca="1" si="20"/>
        <v>0</v>
      </c>
      <c r="Z61" s="988">
        <v>1</v>
      </c>
      <c r="AA61" s="985">
        <f t="shared" ca="1" si="4"/>
        <v>0</v>
      </c>
      <c r="AB61" s="987" t="str">
        <f t="shared" ca="1" si="7"/>
        <v>0-1-0</v>
      </c>
    </row>
    <row r="62" spans="1:28" ht="15" customHeight="1" x14ac:dyDescent="0.2">
      <c r="A62" s="130" t="s">
        <v>77</v>
      </c>
      <c r="B62" s="130" t="s">
        <v>121</v>
      </c>
      <c r="C62" s="130" t="s">
        <v>317</v>
      </c>
      <c r="D62" s="974" t="s">
        <v>24</v>
      </c>
      <c r="E62" s="130">
        <v>2</v>
      </c>
      <c r="F62" s="100" t="str">
        <f t="shared" si="0"/>
        <v>ARCHITECTURE-32</v>
      </c>
      <c r="G62" s="100">
        <f t="shared" si="1"/>
        <v>9</v>
      </c>
      <c r="H62" s="133">
        <f t="shared" ca="1" si="5"/>
        <v>0</v>
      </c>
      <c r="I62" s="133">
        <f t="shared" ca="1" si="2"/>
        <v>0</v>
      </c>
      <c r="O62" s="134" t="s">
        <v>697</v>
      </c>
      <c r="R62" s="643"/>
      <c r="W62" s="983" t="str">
        <f ca="1">AB62&amp;"-"&amp;COUNTIF($AB$2:$AB62,$AB62)</f>
        <v>0-2-0-27</v>
      </c>
      <c r="X62" s="983" t="s">
        <v>317</v>
      </c>
      <c r="Y62" s="985">
        <f t="shared" ca="1" si="20"/>
        <v>0</v>
      </c>
      <c r="Z62" s="988">
        <v>2</v>
      </c>
      <c r="AA62" s="985">
        <f t="shared" ca="1" si="4"/>
        <v>0</v>
      </c>
      <c r="AB62" s="987" t="str">
        <f t="shared" ca="1" si="7"/>
        <v>0-2-0</v>
      </c>
    </row>
    <row r="63" spans="1:28" ht="15" customHeight="1" x14ac:dyDescent="0.2">
      <c r="A63" s="130" t="s">
        <v>77</v>
      </c>
      <c r="B63" s="130" t="s">
        <v>121</v>
      </c>
      <c r="C63" s="130" t="s">
        <v>318</v>
      </c>
      <c r="D63" s="974" t="s">
        <v>25</v>
      </c>
      <c r="E63" s="130">
        <v>2</v>
      </c>
      <c r="F63" s="100" t="str">
        <f t="shared" si="0"/>
        <v>ARCHITECTURE-32</v>
      </c>
      <c r="G63" s="100">
        <f t="shared" si="1"/>
        <v>9</v>
      </c>
      <c r="H63" s="133">
        <f t="shared" ca="1" si="5"/>
        <v>0</v>
      </c>
      <c r="I63" s="133">
        <f t="shared" ca="1" si="2"/>
        <v>0</v>
      </c>
      <c r="R63" s="643"/>
      <c r="W63" s="983" t="str">
        <f ca="1">AB63&amp;"-"&amp;COUNTIF($AB$2:$AB63,$AB63)</f>
        <v>0-2-0-28</v>
      </c>
      <c r="X63" s="983" t="s">
        <v>318</v>
      </c>
      <c r="Y63" s="985">
        <f t="shared" ca="1" si="20"/>
        <v>0</v>
      </c>
      <c r="Z63" s="988">
        <v>2</v>
      </c>
      <c r="AA63" s="985">
        <f t="shared" ca="1" si="4"/>
        <v>0</v>
      </c>
      <c r="AB63" s="987" t="str">
        <f t="shared" ca="1" si="7"/>
        <v>0-2-0</v>
      </c>
    </row>
    <row r="64" spans="1:28" ht="15" customHeight="1" thickBot="1" x14ac:dyDescent="0.25">
      <c r="A64" s="130" t="s">
        <v>77</v>
      </c>
      <c r="B64" s="130" t="s">
        <v>121</v>
      </c>
      <c r="C64" s="130" t="s">
        <v>1002</v>
      </c>
      <c r="D64" s="974" t="s">
        <v>26</v>
      </c>
      <c r="E64" s="130">
        <v>2</v>
      </c>
      <c r="F64" s="100" t="str">
        <f t="shared" si="0"/>
        <v>ARCHITECTURE-32</v>
      </c>
      <c r="G64" s="100">
        <f t="shared" si="1"/>
        <v>9</v>
      </c>
      <c r="H64" s="133">
        <f t="shared" ca="1" si="5"/>
        <v>0</v>
      </c>
      <c r="I64" s="133">
        <f t="shared" ca="1" si="2"/>
        <v>0</v>
      </c>
      <c r="L64" s="713" t="s">
        <v>1950</v>
      </c>
      <c r="R64" s="643"/>
      <c r="W64" s="983" t="str">
        <f ca="1">AB64&amp;"-"&amp;COUNTIF($AB$2:$AB64,$AB64)</f>
        <v>0-2-0-29</v>
      </c>
      <c r="X64" s="983" t="s">
        <v>1002</v>
      </c>
      <c r="Y64" s="985">
        <f t="shared" ca="1" si="20"/>
        <v>0</v>
      </c>
      <c r="Z64" s="988">
        <v>2</v>
      </c>
      <c r="AA64" s="985">
        <f t="shared" ca="1" si="4"/>
        <v>0</v>
      </c>
      <c r="AB64" s="987" t="str">
        <f t="shared" ca="1" si="7"/>
        <v>0-2-0</v>
      </c>
    </row>
    <row r="65" spans="1:28" ht="15" customHeight="1" thickBot="1" x14ac:dyDescent="0.25">
      <c r="A65" s="130" t="s">
        <v>77</v>
      </c>
      <c r="B65" s="130" t="s">
        <v>121</v>
      </c>
      <c r="C65" s="130" t="s">
        <v>1003</v>
      </c>
      <c r="D65" s="974" t="s">
        <v>27</v>
      </c>
      <c r="E65" s="130">
        <v>2</v>
      </c>
      <c r="F65" s="100" t="str">
        <f t="shared" si="0"/>
        <v>ARCHITECTURE-32</v>
      </c>
      <c r="G65" s="100">
        <f t="shared" si="1"/>
        <v>9</v>
      </c>
      <c r="H65" s="133">
        <f t="shared" ca="1" si="5"/>
        <v>0</v>
      </c>
      <c r="I65" s="133">
        <f t="shared" ca="1" si="2"/>
        <v>0</v>
      </c>
      <c r="L65" s="94">
        <v>1</v>
      </c>
      <c r="M65" s="94">
        <v>2</v>
      </c>
      <c r="N65" s="94">
        <v>3</v>
      </c>
      <c r="O65" s="711" t="s">
        <v>1949</v>
      </c>
      <c r="P65" s="712"/>
      <c r="Q65" s="712"/>
      <c r="R65" s="712"/>
      <c r="W65" s="983" t="str">
        <f ca="1">AB65&amp;"-"&amp;COUNTIF($AB$2:$AB65,$AB65)</f>
        <v>0-2-0-30</v>
      </c>
      <c r="X65" s="983" t="s">
        <v>1003</v>
      </c>
      <c r="Y65" s="985">
        <f t="shared" ca="1" si="20"/>
        <v>0</v>
      </c>
      <c r="Z65" s="988">
        <v>2</v>
      </c>
      <c r="AA65" s="985">
        <f t="shared" ca="1" si="4"/>
        <v>0</v>
      </c>
      <c r="AB65" s="987" t="str">
        <f t="shared" ca="1" si="7"/>
        <v>0-2-0</v>
      </c>
    </row>
    <row r="66" spans="1:28" ht="15" customHeight="1" x14ac:dyDescent="0.2">
      <c r="A66" s="130" t="s">
        <v>77</v>
      </c>
      <c r="B66" s="130" t="s">
        <v>121</v>
      </c>
      <c r="C66" s="130" t="s">
        <v>1004</v>
      </c>
      <c r="D66" s="974" t="s">
        <v>28</v>
      </c>
      <c r="E66" s="130">
        <v>2</v>
      </c>
      <c r="F66" s="100" t="str">
        <f t="shared" si="0"/>
        <v>ARCHITECTURE-32</v>
      </c>
      <c r="G66" s="100">
        <f t="shared" ref="G66:G129" si="27">COUNTIF($F:$F,$F66)</f>
        <v>9</v>
      </c>
      <c r="H66" s="133">
        <f t="shared" ca="1" si="5"/>
        <v>0</v>
      </c>
      <c r="I66" s="133">
        <f t="shared" ca="1" si="2"/>
        <v>0</v>
      </c>
      <c r="K66" s="101" t="s">
        <v>59</v>
      </c>
      <c r="L66" s="707">
        <f>SUM(L67:L70)</f>
        <v>8</v>
      </c>
      <c r="M66" s="707">
        <f>SUM(M67:M70)</f>
        <v>17</v>
      </c>
      <c r="N66" s="707">
        <f>SUM(N67:N70)</f>
        <v>10</v>
      </c>
      <c r="O66" s="709">
        <f>SUM(L66:N66)</f>
        <v>35</v>
      </c>
      <c r="R66" s="643"/>
      <c r="W66" s="983" t="str">
        <f ca="1">AB66&amp;"-"&amp;COUNTIF($AB$2:$AB66,$AB66)</f>
        <v>0-2-0-31</v>
      </c>
      <c r="X66" s="983" t="s">
        <v>1004</v>
      </c>
      <c r="Y66" s="985">
        <f t="shared" ref="Y66:Y97" ca="1" si="28">VLOOKUP(LEFT($X66,LEN($X66)-1),$K:$O,5,FALSE)</f>
        <v>0</v>
      </c>
      <c r="Z66" s="988">
        <v>2</v>
      </c>
      <c r="AA66" s="985">
        <f t="shared" ref="AA66:AA129" ca="1" si="29">VLOOKUP(X66,C:I,7,FALSE)</f>
        <v>0</v>
      </c>
      <c r="AB66" s="987" t="str">
        <f t="shared" ca="1" si="7"/>
        <v>0-2-0</v>
      </c>
    </row>
    <row r="67" spans="1:28" ht="15" customHeight="1" x14ac:dyDescent="0.2">
      <c r="A67" s="130" t="s">
        <v>77</v>
      </c>
      <c r="B67" s="130" t="s">
        <v>121</v>
      </c>
      <c r="C67" s="130" t="s">
        <v>1005</v>
      </c>
      <c r="D67" s="974" t="s">
        <v>232</v>
      </c>
      <c r="E67" s="130">
        <v>2</v>
      </c>
      <c r="F67" s="100" t="str">
        <f t="shared" si="0"/>
        <v>ARCHITECTURE-32</v>
      </c>
      <c r="G67" s="100">
        <f t="shared" si="27"/>
        <v>9</v>
      </c>
      <c r="H67" s="133">
        <f t="shared" ca="1" si="5"/>
        <v>0</v>
      </c>
      <c r="I67" s="133">
        <f t="shared" ca="1" si="2"/>
        <v>0</v>
      </c>
      <c r="K67" s="107" t="s">
        <v>61</v>
      </c>
      <c r="L67" s="706">
        <f t="shared" ref="L67:N69" si="30">VLOOKUP(CONCATENATE($K67,L$1),$F:$G,2,FALSE)</f>
        <v>3</v>
      </c>
      <c r="M67" s="706">
        <f t="shared" si="30"/>
        <v>5</v>
      </c>
      <c r="N67" s="706">
        <f t="shared" si="30"/>
        <v>2</v>
      </c>
      <c r="O67" s="708">
        <f t="shared" ref="O67:O122" si="31">SUM(L67:N67)</f>
        <v>10</v>
      </c>
      <c r="R67" s="643"/>
      <c r="W67" s="983" t="str">
        <f ca="1">AB67&amp;"-"&amp;COUNTIF($AB$2:$AB67,$AB67)</f>
        <v>0-2-0-32</v>
      </c>
      <c r="X67" s="983" t="s">
        <v>1005</v>
      </c>
      <c r="Y67" s="985">
        <f t="shared" ca="1" si="28"/>
        <v>0</v>
      </c>
      <c r="Z67" s="988">
        <v>2</v>
      </c>
      <c r="AA67" s="985">
        <f t="shared" ca="1" si="29"/>
        <v>0</v>
      </c>
      <c r="AB67" s="987" t="str">
        <f t="shared" ref="AB67:AB130" ca="1" si="32">Y67&amp;"-"&amp;Z67&amp;"-"&amp;AA67</f>
        <v>0-2-0</v>
      </c>
    </row>
    <row r="68" spans="1:28" ht="15" customHeight="1" x14ac:dyDescent="0.2">
      <c r="A68" s="130" t="s">
        <v>77</v>
      </c>
      <c r="B68" s="130" t="s">
        <v>121</v>
      </c>
      <c r="C68" s="130" t="s">
        <v>1006</v>
      </c>
      <c r="D68" s="974" t="s">
        <v>264</v>
      </c>
      <c r="E68" s="130">
        <v>2</v>
      </c>
      <c r="F68" s="100" t="str">
        <f t="shared" si="0"/>
        <v>ARCHITECTURE-32</v>
      </c>
      <c r="G68" s="100">
        <f t="shared" si="27"/>
        <v>9</v>
      </c>
      <c r="H68" s="133">
        <f t="shared" ca="1" si="5"/>
        <v>0</v>
      </c>
      <c r="I68" s="133">
        <f t="shared" ca="1" si="2"/>
        <v>0</v>
      </c>
      <c r="K68" s="107" t="s">
        <v>63</v>
      </c>
      <c r="L68" s="706">
        <f t="shared" si="30"/>
        <v>2</v>
      </c>
      <c r="M68" s="706">
        <f t="shared" si="30"/>
        <v>5</v>
      </c>
      <c r="N68" s="706">
        <f t="shared" si="30"/>
        <v>2</v>
      </c>
      <c r="O68" s="708">
        <f t="shared" si="31"/>
        <v>9</v>
      </c>
      <c r="R68" s="643"/>
      <c r="W68" s="983" t="str">
        <f ca="1">AB68&amp;"-"&amp;COUNTIF($AB$2:$AB68,$AB68)</f>
        <v>0-2-0-33</v>
      </c>
      <c r="X68" s="983" t="s">
        <v>1006</v>
      </c>
      <c r="Y68" s="985">
        <f t="shared" ca="1" si="28"/>
        <v>0</v>
      </c>
      <c r="Z68" s="988">
        <v>2</v>
      </c>
      <c r="AA68" s="985">
        <f t="shared" ca="1" si="29"/>
        <v>0</v>
      </c>
      <c r="AB68" s="987" t="str">
        <f t="shared" ca="1" si="32"/>
        <v>0-2-0</v>
      </c>
    </row>
    <row r="69" spans="1:28" ht="15" customHeight="1" x14ac:dyDescent="0.2">
      <c r="A69" s="130" t="s">
        <v>77</v>
      </c>
      <c r="B69" s="130" t="s">
        <v>121</v>
      </c>
      <c r="C69" s="130" t="s">
        <v>1007</v>
      </c>
      <c r="D69" s="974" t="s">
        <v>266</v>
      </c>
      <c r="E69" s="130">
        <v>2</v>
      </c>
      <c r="F69" s="100" t="str">
        <f t="shared" si="0"/>
        <v>ARCHITECTURE-32</v>
      </c>
      <c r="G69" s="100">
        <f t="shared" si="27"/>
        <v>9</v>
      </c>
      <c r="H69" s="133">
        <f t="shared" ca="1" si="5"/>
        <v>0</v>
      </c>
      <c r="I69" s="133">
        <f t="shared" ca="1" si="2"/>
        <v>0</v>
      </c>
      <c r="K69" s="107" t="s">
        <v>66</v>
      </c>
      <c r="L69" s="706">
        <f t="shared" si="30"/>
        <v>3</v>
      </c>
      <c r="M69" s="706">
        <f t="shared" si="30"/>
        <v>5</v>
      </c>
      <c r="N69" s="706">
        <f t="shared" si="30"/>
        <v>2</v>
      </c>
      <c r="O69" s="708">
        <f t="shared" si="31"/>
        <v>10</v>
      </c>
      <c r="R69" s="643"/>
      <c r="W69" s="983" t="str">
        <f ca="1">AB69&amp;"-"&amp;COUNTIF($AB$2:$AB69,$AB69)</f>
        <v>0-2-0-34</v>
      </c>
      <c r="X69" s="983" t="s">
        <v>1007</v>
      </c>
      <c r="Y69" s="985">
        <f t="shared" ca="1" si="28"/>
        <v>0</v>
      </c>
      <c r="Z69" s="988">
        <v>2</v>
      </c>
      <c r="AA69" s="985">
        <f t="shared" ca="1" si="29"/>
        <v>0</v>
      </c>
      <c r="AB69" s="987" t="str">
        <f t="shared" ca="1" si="32"/>
        <v>0-2-0</v>
      </c>
    </row>
    <row r="70" spans="1:28" ht="15" customHeight="1" x14ac:dyDescent="0.2">
      <c r="A70" s="130" t="s">
        <v>77</v>
      </c>
      <c r="B70" s="130" t="s">
        <v>121</v>
      </c>
      <c r="C70" s="130" t="s">
        <v>2611</v>
      </c>
      <c r="D70" s="974" t="s">
        <v>361</v>
      </c>
      <c r="E70" s="130">
        <v>2</v>
      </c>
      <c r="F70" s="100" t="str">
        <f t="shared" si="0"/>
        <v>ARCHITECTURE-32</v>
      </c>
      <c r="G70" s="100">
        <f t="shared" si="27"/>
        <v>9</v>
      </c>
      <c r="H70" s="133">
        <f t="shared" ca="1" si="5"/>
        <v>0</v>
      </c>
      <c r="I70" s="133">
        <f t="shared" ref="I70:I72" ca="1" si="33">IFERROR(IF(H70&gt;2,1,0),0)</f>
        <v>0</v>
      </c>
      <c r="K70" s="107" t="s">
        <v>1017</v>
      </c>
      <c r="L70" s="706">
        <v>0</v>
      </c>
      <c r="M70" s="706">
        <f>VLOOKUP(CONCATENATE($K70,M$1),$F:$G,2,FALSE)</f>
        <v>2</v>
      </c>
      <c r="N70" s="706">
        <f>VLOOKUP(CONCATENATE($K70,N$1),$F:$G,2,FALSE)</f>
        <v>4</v>
      </c>
      <c r="O70" s="708">
        <f t="shared" si="31"/>
        <v>6</v>
      </c>
      <c r="R70" s="643"/>
      <c r="W70" s="983" t="str">
        <f ca="1">AB70&amp;"-"&amp;COUNTIF($AB$2:$AB70,$AB70)</f>
        <v>0-2-0-35</v>
      </c>
      <c r="X70" s="983" t="s">
        <v>2611</v>
      </c>
      <c r="Y70" s="985">
        <f t="shared" ca="1" si="28"/>
        <v>0</v>
      </c>
      <c r="Z70" s="988">
        <v>2</v>
      </c>
      <c r="AA70" s="985">
        <f t="shared" ca="1" si="29"/>
        <v>0</v>
      </c>
      <c r="AB70" s="987" t="str">
        <f t="shared" ca="1" si="32"/>
        <v>0-2-0</v>
      </c>
    </row>
    <row r="71" spans="1:28" ht="15" customHeight="1" x14ac:dyDescent="0.2">
      <c r="A71" s="130" t="s">
        <v>77</v>
      </c>
      <c r="B71" s="130" t="s">
        <v>121</v>
      </c>
      <c r="C71" s="130" t="s">
        <v>2612</v>
      </c>
      <c r="D71" s="974" t="s">
        <v>2799</v>
      </c>
      <c r="E71" s="130">
        <v>3</v>
      </c>
      <c r="F71" s="100" t="str">
        <f t="shared" si="0"/>
        <v>ARCHITECTURE-33</v>
      </c>
      <c r="G71" s="100">
        <f t="shared" si="27"/>
        <v>2</v>
      </c>
      <c r="H71" s="133">
        <f t="shared" ca="1" si="5"/>
        <v>0</v>
      </c>
      <c r="I71" s="133">
        <f t="shared" ca="1" si="33"/>
        <v>0</v>
      </c>
      <c r="K71" s="101" t="s">
        <v>77</v>
      </c>
      <c r="L71" s="707">
        <f>SUM(L72:L77)</f>
        <v>6</v>
      </c>
      <c r="M71" s="707">
        <f>SUM(M72:M77)</f>
        <v>30</v>
      </c>
      <c r="N71" s="707">
        <f>SUM(N72:N77)</f>
        <v>22</v>
      </c>
      <c r="O71" s="709">
        <f t="shared" si="31"/>
        <v>58</v>
      </c>
      <c r="R71" s="642"/>
      <c r="W71" s="983" t="str">
        <f ca="1">AB71&amp;"-"&amp;COUNTIF($AB$2:$AB71,$AB71)</f>
        <v>0-3-0-16</v>
      </c>
      <c r="X71" s="983" t="s">
        <v>2612</v>
      </c>
      <c r="Y71" s="985">
        <f t="shared" ca="1" si="28"/>
        <v>0</v>
      </c>
      <c r="Z71" s="988">
        <v>3</v>
      </c>
      <c r="AA71" s="985">
        <f t="shared" ca="1" si="29"/>
        <v>0</v>
      </c>
      <c r="AB71" s="987" t="str">
        <f t="shared" ca="1" si="32"/>
        <v>0-3-0</v>
      </c>
    </row>
    <row r="72" spans="1:28" ht="15" customHeight="1" x14ac:dyDescent="0.2">
      <c r="A72" s="130" t="s">
        <v>77</v>
      </c>
      <c r="B72" s="130" t="s">
        <v>121</v>
      </c>
      <c r="C72" s="130" t="s">
        <v>2613</v>
      </c>
      <c r="D72" s="974" t="s">
        <v>2800</v>
      </c>
      <c r="E72" s="130">
        <v>3</v>
      </c>
      <c r="F72" s="100" t="str">
        <f t="shared" si="0"/>
        <v>ARCHITECTURE-33</v>
      </c>
      <c r="G72" s="100">
        <f t="shared" si="27"/>
        <v>2</v>
      </c>
      <c r="H72" s="133">
        <f t="shared" ca="1" si="5"/>
        <v>0</v>
      </c>
      <c r="I72" s="133">
        <f t="shared" ca="1" si="33"/>
        <v>0</v>
      </c>
      <c r="K72" s="107" t="s">
        <v>115</v>
      </c>
      <c r="L72" s="706">
        <f t="shared" ref="L72:N74" si="34">VLOOKUP(CONCATENATE($K72,L$1),$F:$G,2,FALSE)</f>
        <v>1</v>
      </c>
      <c r="M72" s="706">
        <f t="shared" si="34"/>
        <v>6</v>
      </c>
      <c r="N72" s="706">
        <f t="shared" si="34"/>
        <v>4</v>
      </c>
      <c r="O72" s="708">
        <f t="shared" si="31"/>
        <v>11</v>
      </c>
      <c r="R72" s="643"/>
      <c r="W72" s="983" t="str">
        <f ca="1">AB72&amp;"-"&amp;COUNTIF($AB$2:$AB72,$AB72)</f>
        <v>0-3-0-17</v>
      </c>
      <c r="X72" s="983" t="s">
        <v>2613</v>
      </c>
      <c r="Y72" s="985">
        <f t="shared" ca="1" si="28"/>
        <v>0</v>
      </c>
      <c r="Z72" s="988">
        <v>3</v>
      </c>
      <c r="AA72" s="985">
        <f t="shared" ca="1" si="29"/>
        <v>0</v>
      </c>
      <c r="AB72" s="987" t="str">
        <f t="shared" ca="1" si="32"/>
        <v>0-3-0</v>
      </c>
    </row>
    <row r="73" spans="1:28" ht="15" customHeight="1" x14ac:dyDescent="0.2">
      <c r="A73" s="130" t="s">
        <v>77</v>
      </c>
      <c r="B73" s="130" t="s">
        <v>124</v>
      </c>
      <c r="C73" s="130" t="s">
        <v>319</v>
      </c>
      <c r="D73" s="974" t="s">
        <v>117</v>
      </c>
      <c r="E73" s="130">
        <v>2</v>
      </c>
      <c r="F73" s="100" t="str">
        <f t="shared" si="0"/>
        <v>ARCHITECTURE-42</v>
      </c>
      <c r="G73" s="100">
        <f t="shared" si="27"/>
        <v>3</v>
      </c>
      <c r="H73" s="133">
        <f t="shared" ca="1" si="5"/>
        <v>0</v>
      </c>
      <c r="I73" s="133">
        <f t="shared" ca="1" si="2"/>
        <v>0</v>
      </c>
      <c r="K73" s="107" t="s">
        <v>118</v>
      </c>
      <c r="L73" s="706">
        <f t="shared" si="34"/>
        <v>2</v>
      </c>
      <c r="M73" s="706">
        <f t="shared" si="34"/>
        <v>5</v>
      </c>
      <c r="N73" s="706">
        <f t="shared" si="34"/>
        <v>5</v>
      </c>
      <c r="O73" s="708">
        <f t="shared" si="31"/>
        <v>12</v>
      </c>
      <c r="R73" s="643"/>
      <c r="W73" s="983" t="str">
        <f ca="1">AB73&amp;"-"&amp;COUNTIF($AB$2:$AB73,$AB73)</f>
        <v>1-2-0-3</v>
      </c>
      <c r="X73" s="983" t="s">
        <v>319</v>
      </c>
      <c r="Y73" s="985">
        <f t="shared" ca="1" si="28"/>
        <v>1</v>
      </c>
      <c r="Z73" s="988">
        <v>2</v>
      </c>
      <c r="AA73" s="985">
        <f t="shared" ca="1" si="29"/>
        <v>0</v>
      </c>
      <c r="AB73" s="987" t="str">
        <f t="shared" ca="1" si="32"/>
        <v>1-2-0</v>
      </c>
    </row>
    <row r="74" spans="1:28" ht="15" customHeight="1" x14ac:dyDescent="0.2">
      <c r="A74" s="130" t="s">
        <v>77</v>
      </c>
      <c r="B74" s="130" t="s">
        <v>124</v>
      </c>
      <c r="C74" s="130" t="s">
        <v>320</v>
      </c>
      <c r="D74" s="974" t="s">
        <v>120</v>
      </c>
      <c r="E74" s="130">
        <v>2</v>
      </c>
      <c r="F74" s="100" t="str">
        <f t="shared" si="0"/>
        <v>ARCHITECTURE-42</v>
      </c>
      <c r="G74" s="100">
        <f t="shared" si="27"/>
        <v>3</v>
      </c>
      <c r="H74" s="133">
        <f t="shared" ca="1" si="5"/>
        <v>0</v>
      </c>
      <c r="I74" s="133">
        <f t="shared" ca="1" si="2"/>
        <v>0</v>
      </c>
      <c r="K74" s="107" t="s">
        <v>121</v>
      </c>
      <c r="L74" s="706">
        <f t="shared" si="34"/>
        <v>2</v>
      </c>
      <c r="M74" s="706">
        <f t="shared" si="34"/>
        <v>9</v>
      </c>
      <c r="N74" s="706">
        <f t="shared" si="34"/>
        <v>2</v>
      </c>
      <c r="O74" s="708">
        <f t="shared" si="31"/>
        <v>13</v>
      </c>
      <c r="R74" s="643"/>
      <c r="W74" s="983" t="str">
        <f ca="1">AB74&amp;"-"&amp;COUNTIF($AB$2:$AB74,$AB74)</f>
        <v>1-2-0-4</v>
      </c>
      <c r="X74" s="983" t="s">
        <v>320</v>
      </c>
      <c r="Y74" s="985">
        <f t="shared" ca="1" si="28"/>
        <v>1</v>
      </c>
      <c r="Z74" s="988">
        <v>2</v>
      </c>
      <c r="AA74" s="985">
        <f t="shared" ca="1" si="29"/>
        <v>0</v>
      </c>
      <c r="AB74" s="987" t="str">
        <f t="shared" ca="1" si="32"/>
        <v>1-2-0</v>
      </c>
    </row>
    <row r="75" spans="1:28" ht="15" customHeight="1" x14ac:dyDescent="0.2">
      <c r="A75" s="130" t="s">
        <v>77</v>
      </c>
      <c r="B75" s="130" t="s">
        <v>124</v>
      </c>
      <c r="C75" s="130" t="s">
        <v>321</v>
      </c>
      <c r="D75" s="974" t="s">
        <v>123</v>
      </c>
      <c r="E75" s="130">
        <v>2</v>
      </c>
      <c r="F75" s="100" t="str">
        <f t="shared" ref="F75:F138" si="35">CONCATENATE($B75,$E75)</f>
        <v>ARCHITECTURE-42</v>
      </c>
      <c r="G75" s="100">
        <f t="shared" si="27"/>
        <v>3</v>
      </c>
      <c r="H75" s="133">
        <f t="shared" ca="1" si="5"/>
        <v>0</v>
      </c>
      <c r="I75" s="133">
        <f t="shared" ref="I75:I138" ca="1" si="36">IFERROR(IF(H75&gt;2,1,0),0)</f>
        <v>0</v>
      </c>
      <c r="K75" s="107" t="s">
        <v>124</v>
      </c>
      <c r="L75" s="706">
        <v>0</v>
      </c>
      <c r="M75" s="706">
        <f t="shared" ref="M75:N77" si="37">VLOOKUP(CONCATENATE($K75,M$1),$F:$G,2,FALSE)</f>
        <v>3</v>
      </c>
      <c r="N75" s="706">
        <f t="shared" si="37"/>
        <v>5</v>
      </c>
      <c r="O75" s="708">
        <f t="shared" si="31"/>
        <v>8</v>
      </c>
      <c r="R75" s="642"/>
      <c r="W75" s="983" t="str">
        <f ca="1">AB75&amp;"-"&amp;COUNTIF($AB$2:$AB75,$AB75)</f>
        <v>1-2-0-5</v>
      </c>
      <c r="X75" s="983" t="s">
        <v>321</v>
      </c>
      <c r="Y75" s="985">
        <f t="shared" ca="1" si="28"/>
        <v>1</v>
      </c>
      <c r="Z75" s="988">
        <v>2</v>
      </c>
      <c r="AA75" s="985">
        <f t="shared" ca="1" si="29"/>
        <v>0</v>
      </c>
      <c r="AB75" s="987" t="str">
        <f t="shared" ca="1" si="32"/>
        <v>1-2-0</v>
      </c>
    </row>
    <row r="76" spans="1:28" ht="15" customHeight="1" x14ac:dyDescent="0.2">
      <c r="A76" s="130" t="s">
        <v>77</v>
      </c>
      <c r="B76" s="130" t="s">
        <v>124</v>
      </c>
      <c r="C76" s="130" t="s">
        <v>322</v>
      </c>
      <c r="D76" s="974" t="s">
        <v>126</v>
      </c>
      <c r="E76" s="130">
        <v>3</v>
      </c>
      <c r="F76" s="100" t="str">
        <f t="shared" si="35"/>
        <v>ARCHITECTURE-43</v>
      </c>
      <c r="G76" s="100">
        <f t="shared" si="27"/>
        <v>5</v>
      </c>
      <c r="H76" s="133">
        <f t="shared" ref="H76:H139" ca="1" si="38">INT(LEFT(
VLOOKUP($D76, INDIRECT("'"&amp;$A76&amp;"'!"&amp;"$D:$G"), 4,FALSE), 1)
)</f>
        <v>0</v>
      </c>
      <c r="I76" s="133">
        <f t="shared" ca="1" si="36"/>
        <v>0</v>
      </c>
      <c r="K76" s="107" t="s">
        <v>127</v>
      </c>
      <c r="L76" s="706">
        <f>VLOOKUP(CONCATENATE($K76,L$1),$F:$G,2,FALSE)</f>
        <v>1</v>
      </c>
      <c r="M76" s="706">
        <f t="shared" si="37"/>
        <v>5</v>
      </c>
      <c r="N76" s="706">
        <f t="shared" si="37"/>
        <v>2</v>
      </c>
      <c r="O76" s="708">
        <f t="shared" si="31"/>
        <v>8</v>
      </c>
      <c r="R76" s="643"/>
      <c r="W76" s="983" t="str">
        <f ca="1">AB76&amp;"-"&amp;COUNTIF($AB$2:$AB76,$AB76)</f>
        <v>1-3-0-5</v>
      </c>
      <c r="X76" s="983" t="s">
        <v>322</v>
      </c>
      <c r="Y76" s="985">
        <f t="shared" ca="1" si="28"/>
        <v>1</v>
      </c>
      <c r="Z76" s="988">
        <v>3</v>
      </c>
      <c r="AA76" s="985">
        <f t="shared" ca="1" si="29"/>
        <v>0</v>
      </c>
      <c r="AB76" s="987" t="str">
        <f t="shared" ca="1" si="32"/>
        <v>1-3-0</v>
      </c>
    </row>
    <row r="77" spans="1:28" ht="15" customHeight="1" x14ac:dyDescent="0.2">
      <c r="A77" s="130" t="s">
        <v>77</v>
      </c>
      <c r="B77" s="130" t="s">
        <v>124</v>
      </c>
      <c r="C77" s="130" t="s">
        <v>323</v>
      </c>
      <c r="D77" s="974" t="s">
        <v>129</v>
      </c>
      <c r="E77" s="130">
        <v>3</v>
      </c>
      <c r="F77" s="100" t="str">
        <f t="shared" si="35"/>
        <v>ARCHITECTURE-43</v>
      </c>
      <c r="G77" s="100">
        <f t="shared" si="27"/>
        <v>5</v>
      </c>
      <c r="H77" s="133">
        <f t="shared" ca="1" si="38"/>
        <v>0</v>
      </c>
      <c r="I77" s="133">
        <f t="shared" ca="1" si="36"/>
        <v>0</v>
      </c>
      <c r="K77" s="107" t="s">
        <v>1027</v>
      </c>
      <c r="L77" s="706">
        <v>0</v>
      </c>
      <c r="M77" s="706">
        <f t="shared" si="37"/>
        <v>2</v>
      </c>
      <c r="N77" s="706">
        <f t="shared" si="37"/>
        <v>4</v>
      </c>
      <c r="O77" s="708">
        <f t="shared" si="31"/>
        <v>6</v>
      </c>
      <c r="R77" s="643"/>
      <c r="W77" s="983" t="str">
        <f ca="1">AB77&amp;"-"&amp;COUNTIF($AB$2:$AB77,$AB77)</f>
        <v>1-3-0-6</v>
      </c>
      <c r="X77" s="983" t="s">
        <v>323</v>
      </c>
      <c r="Y77" s="985">
        <f t="shared" ca="1" si="28"/>
        <v>1</v>
      </c>
      <c r="Z77" s="988">
        <v>3</v>
      </c>
      <c r="AA77" s="985">
        <f t="shared" ca="1" si="29"/>
        <v>0</v>
      </c>
      <c r="AB77" s="987" t="str">
        <f t="shared" ca="1" si="32"/>
        <v>1-3-0</v>
      </c>
    </row>
    <row r="78" spans="1:28" ht="15" customHeight="1" x14ac:dyDescent="0.2">
      <c r="A78" s="130" t="s">
        <v>77</v>
      </c>
      <c r="B78" s="130" t="s">
        <v>124</v>
      </c>
      <c r="C78" s="130" t="s">
        <v>324</v>
      </c>
      <c r="D78" s="974" t="s">
        <v>131</v>
      </c>
      <c r="E78" s="130">
        <v>3</v>
      </c>
      <c r="F78" s="100" t="str">
        <f t="shared" si="35"/>
        <v>ARCHITECTURE-43</v>
      </c>
      <c r="G78" s="100">
        <f t="shared" si="27"/>
        <v>5</v>
      </c>
      <c r="H78" s="133">
        <f t="shared" ca="1" si="38"/>
        <v>0</v>
      </c>
      <c r="I78" s="133">
        <f t="shared" ca="1" si="36"/>
        <v>0</v>
      </c>
      <c r="K78" s="101" t="s">
        <v>48</v>
      </c>
      <c r="L78" s="707">
        <f>SUM(L79:L83)</f>
        <v>5</v>
      </c>
      <c r="M78" s="707">
        <f>SUM(M79:M83)</f>
        <v>18</v>
      </c>
      <c r="N78" s="707">
        <f>SUM(N79:N83)</f>
        <v>13</v>
      </c>
      <c r="O78" s="709">
        <f t="shared" si="31"/>
        <v>36</v>
      </c>
      <c r="R78" s="643"/>
      <c r="W78" s="983" t="str">
        <f ca="1">AB78&amp;"-"&amp;COUNTIF($AB$2:$AB78,$AB78)</f>
        <v>1-3-0-7</v>
      </c>
      <c r="X78" s="983" t="s">
        <v>324</v>
      </c>
      <c r="Y78" s="985">
        <f t="shared" ca="1" si="28"/>
        <v>1</v>
      </c>
      <c r="Z78" s="988">
        <v>3</v>
      </c>
      <c r="AA78" s="985">
        <f t="shared" ca="1" si="29"/>
        <v>0</v>
      </c>
      <c r="AB78" s="987" t="str">
        <f t="shared" ca="1" si="32"/>
        <v>1-3-0</v>
      </c>
    </row>
    <row r="79" spans="1:28" ht="15" customHeight="1" x14ac:dyDescent="0.2">
      <c r="A79" s="130" t="s">
        <v>77</v>
      </c>
      <c r="B79" s="130" t="s">
        <v>124</v>
      </c>
      <c r="C79" s="130" t="s">
        <v>325</v>
      </c>
      <c r="D79" s="974" t="s">
        <v>239</v>
      </c>
      <c r="E79" s="130">
        <v>3</v>
      </c>
      <c r="F79" s="100" t="str">
        <f t="shared" si="35"/>
        <v>ARCHITECTURE-43</v>
      </c>
      <c r="G79" s="100">
        <f t="shared" si="27"/>
        <v>5</v>
      </c>
      <c r="H79" s="133">
        <f t="shared" ca="1" si="38"/>
        <v>0</v>
      </c>
      <c r="I79" s="133">
        <f t="shared" ca="1" si="36"/>
        <v>0</v>
      </c>
      <c r="K79" s="107" t="s">
        <v>50</v>
      </c>
      <c r="L79" s="706">
        <f t="shared" ref="L79:N82" si="39">VLOOKUP(CONCATENATE($K79,L$1),$F:$G,2,FALSE)</f>
        <v>1</v>
      </c>
      <c r="M79" s="706">
        <f t="shared" si="39"/>
        <v>4</v>
      </c>
      <c r="N79" s="706">
        <f t="shared" si="39"/>
        <v>3</v>
      </c>
      <c r="O79" s="708">
        <f t="shared" si="31"/>
        <v>8</v>
      </c>
      <c r="R79" s="642"/>
      <c r="W79" s="983" t="str">
        <f ca="1">AB79&amp;"-"&amp;COUNTIF($AB$2:$AB79,$AB79)</f>
        <v>1-3-0-8</v>
      </c>
      <c r="X79" s="983" t="s">
        <v>325</v>
      </c>
      <c r="Y79" s="985">
        <f t="shared" ca="1" si="28"/>
        <v>1</v>
      </c>
      <c r="Z79" s="988">
        <v>3</v>
      </c>
      <c r="AA79" s="985">
        <f t="shared" ca="1" si="29"/>
        <v>0</v>
      </c>
      <c r="AB79" s="987" t="str">
        <f t="shared" ca="1" si="32"/>
        <v>1-3-0</v>
      </c>
    </row>
    <row r="80" spans="1:28" ht="15" customHeight="1" x14ac:dyDescent="0.2">
      <c r="A80" s="130" t="s">
        <v>77</v>
      </c>
      <c r="B80" s="130" t="s">
        <v>124</v>
      </c>
      <c r="C80" s="130" t="s">
        <v>326</v>
      </c>
      <c r="D80" s="974" t="s">
        <v>327</v>
      </c>
      <c r="E80" s="130">
        <v>3</v>
      </c>
      <c r="F80" s="100" t="str">
        <f t="shared" si="35"/>
        <v>ARCHITECTURE-43</v>
      </c>
      <c r="G80" s="100">
        <f t="shared" si="27"/>
        <v>5</v>
      </c>
      <c r="H80" s="133">
        <f t="shared" ca="1" si="38"/>
        <v>0</v>
      </c>
      <c r="I80" s="133">
        <f t="shared" ca="1" si="36"/>
        <v>0</v>
      </c>
      <c r="K80" s="107" t="s">
        <v>52</v>
      </c>
      <c r="L80" s="706">
        <f t="shared" si="39"/>
        <v>1</v>
      </c>
      <c r="M80" s="706">
        <f t="shared" si="39"/>
        <v>4</v>
      </c>
      <c r="N80" s="706">
        <f t="shared" si="39"/>
        <v>3</v>
      </c>
      <c r="O80" s="708">
        <f t="shared" si="31"/>
        <v>8</v>
      </c>
      <c r="R80" s="643"/>
      <c r="W80" s="983" t="str">
        <f ca="1">AB80&amp;"-"&amp;COUNTIF($AB$2:$AB80,$AB80)</f>
        <v>1-3-0-9</v>
      </c>
      <c r="X80" s="983" t="s">
        <v>326</v>
      </c>
      <c r="Y80" s="985">
        <f t="shared" ca="1" si="28"/>
        <v>1</v>
      </c>
      <c r="Z80" s="988">
        <v>3</v>
      </c>
      <c r="AA80" s="985">
        <f t="shared" ca="1" si="29"/>
        <v>0</v>
      </c>
      <c r="AB80" s="987" t="str">
        <f t="shared" ca="1" si="32"/>
        <v>1-3-0</v>
      </c>
    </row>
    <row r="81" spans="1:28" ht="15" customHeight="1" x14ac:dyDescent="0.2">
      <c r="A81" s="130" t="s">
        <v>77</v>
      </c>
      <c r="B81" s="130" t="s">
        <v>127</v>
      </c>
      <c r="C81" s="130" t="s">
        <v>329</v>
      </c>
      <c r="D81" s="974" t="s">
        <v>134</v>
      </c>
      <c r="E81" s="130">
        <v>1</v>
      </c>
      <c r="F81" s="100" t="str">
        <f t="shared" si="35"/>
        <v>ARCHITECTURE-51</v>
      </c>
      <c r="G81" s="100">
        <f t="shared" si="27"/>
        <v>1</v>
      </c>
      <c r="H81" s="133">
        <f t="shared" ca="1" si="38"/>
        <v>0</v>
      </c>
      <c r="I81" s="133">
        <f t="shared" ca="1" si="36"/>
        <v>0</v>
      </c>
      <c r="K81" s="107" t="s">
        <v>54</v>
      </c>
      <c r="L81" s="706">
        <f t="shared" si="39"/>
        <v>1</v>
      </c>
      <c r="M81" s="706">
        <f t="shared" si="39"/>
        <v>3</v>
      </c>
      <c r="N81" s="706">
        <f t="shared" si="39"/>
        <v>1</v>
      </c>
      <c r="O81" s="708">
        <f t="shared" si="31"/>
        <v>5</v>
      </c>
      <c r="R81" s="643"/>
      <c r="W81" s="983" t="str">
        <f ca="1">AB81&amp;"-"&amp;COUNTIF($AB$2:$AB81,$AB81)</f>
        <v>0-1-0-14</v>
      </c>
      <c r="X81" s="983" t="s">
        <v>329</v>
      </c>
      <c r="Y81" s="985">
        <f t="shared" ca="1" si="28"/>
        <v>0</v>
      </c>
      <c r="Z81" s="988">
        <v>1</v>
      </c>
      <c r="AA81" s="985">
        <f t="shared" ca="1" si="29"/>
        <v>0</v>
      </c>
      <c r="AB81" s="987" t="str">
        <f t="shared" ca="1" si="32"/>
        <v>0-1-0</v>
      </c>
    </row>
    <row r="82" spans="1:28" ht="15" customHeight="1" x14ac:dyDescent="0.2">
      <c r="A82" s="130" t="s">
        <v>77</v>
      </c>
      <c r="B82" s="130" t="s">
        <v>127</v>
      </c>
      <c r="C82" s="130" t="s">
        <v>330</v>
      </c>
      <c r="D82" s="974" t="s">
        <v>137</v>
      </c>
      <c r="E82" s="130">
        <v>2</v>
      </c>
      <c r="F82" s="100" t="str">
        <f t="shared" si="35"/>
        <v>ARCHITECTURE-52</v>
      </c>
      <c r="G82" s="100">
        <f t="shared" si="27"/>
        <v>5</v>
      </c>
      <c r="H82" s="133">
        <f t="shared" ca="1" si="38"/>
        <v>0</v>
      </c>
      <c r="I82" s="133">
        <f t="shared" ca="1" si="36"/>
        <v>0</v>
      </c>
      <c r="K82" s="107" t="s">
        <v>55</v>
      </c>
      <c r="L82" s="706">
        <f t="shared" si="39"/>
        <v>2</v>
      </c>
      <c r="M82" s="706">
        <f t="shared" si="39"/>
        <v>5</v>
      </c>
      <c r="N82" s="706">
        <f t="shared" si="39"/>
        <v>2</v>
      </c>
      <c r="O82" s="708">
        <f t="shared" si="31"/>
        <v>9</v>
      </c>
      <c r="R82" s="643"/>
      <c r="W82" s="983" t="str">
        <f ca="1">AB82&amp;"-"&amp;COUNTIF($AB$2:$AB82,$AB82)</f>
        <v>0-2-0-36</v>
      </c>
      <c r="X82" s="983" t="s">
        <v>330</v>
      </c>
      <c r="Y82" s="985">
        <f t="shared" ca="1" si="28"/>
        <v>0</v>
      </c>
      <c r="Z82" s="988">
        <v>2</v>
      </c>
      <c r="AA82" s="985">
        <f t="shared" ca="1" si="29"/>
        <v>0</v>
      </c>
      <c r="AB82" s="987" t="str">
        <f t="shared" ca="1" si="32"/>
        <v>0-2-0</v>
      </c>
    </row>
    <row r="83" spans="1:28" ht="15" customHeight="1" x14ac:dyDescent="0.2">
      <c r="A83" s="130" t="s">
        <v>77</v>
      </c>
      <c r="B83" s="130" t="s">
        <v>127</v>
      </c>
      <c r="C83" s="130" t="s">
        <v>331</v>
      </c>
      <c r="D83" s="974" t="s">
        <v>140</v>
      </c>
      <c r="E83" s="130">
        <v>2</v>
      </c>
      <c r="F83" s="100" t="str">
        <f t="shared" si="35"/>
        <v>ARCHITECTURE-52</v>
      </c>
      <c r="G83" s="100">
        <f t="shared" si="27"/>
        <v>5</v>
      </c>
      <c r="H83" s="133">
        <f t="shared" ca="1" si="38"/>
        <v>0</v>
      </c>
      <c r="I83" s="133">
        <f t="shared" ca="1" si="36"/>
        <v>0</v>
      </c>
      <c r="K83" s="107" t="s">
        <v>57</v>
      </c>
      <c r="L83" s="706">
        <v>0</v>
      </c>
      <c r="M83" s="706">
        <f>VLOOKUP(CONCATENATE($K83,M$1),$F:$G,2,FALSE)</f>
        <v>2</v>
      </c>
      <c r="N83" s="706">
        <f>VLOOKUP(CONCATENATE($K83,N$1),$F:$G,2,FALSE)</f>
        <v>4</v>
      </c>
      <c r="O83" s="708">
        <f t="shared" si="31"/>
        <v>6</v>
      </c>
      <c r="R83" s="643"/>
      <c r="W83" s="983" t="str">
        <f ca="1">AB83&amp;"-"&amp;COUNTIF($AB$2:$AB83,$AB83)</f>
        <v>0-2-0-37</v>
      </c>
      <c r="X83" s="983" t="s">
        <v>331</v>
      </c>
      <c r="Y83" s="985">
        <f t="shared" ca="1" si="28"/>
        <v>0</v>
      </c>
      <c r="Z83" s="988">
        <v>2</v>
      </c>
      <c r="AA83" s="985">
        <f t="shared" ca="1" si="29"/>
        <v>0</v>
      </c>
      <c r="AB83" s="987" t="str">
        <f t="shared" ca="1" si="32"/>
        <v>0-2-0</v>
      </c>
    </row>
    <row r="84" spans="1:28" ht="15" customHeight="1" x14ac:dyDescent="0.2">
      <c r="A84" s="130" t="s">
        <v>77</v>
      </c>
      <c r="B84" s="130" t="s">
        <v>127</v>
      </c>
      <c r="C84" s="130" t="s">
        <v>332</v>
      </c>
      <c r="D84" s="974" t="s">
        <v>142</v>
      </c>
      <c r="E84" s="130">
        <v>2</v>
      </c>
      <c r="F84" s="100" t="str">
        <f t="shared" si="35"/>
        <v>ARCHITECTURE-52</v>
      </c>
      <c r="G84" s="100">
        <f t="shared" si="27"/>
        <v>5</v>
      </c>
      <c r="H84" s="133">
        <f t="shared" ca="1" si="38"/>
        <v>0</v>
      </c>
      <c r="I84" s="133">
        <f t="shared" ca="1" si="36"/>
        <v>0</v>
      </c>
      <c r="K84" s="101" t="s">
        <v>56</v>
      </c>
      <c r="L84" s="707">
        <f>SUM(L85:L87)</f>
        <v>10</v>
      </c>
      <c r="M84" s="707">
        <f>SUM(M85:M87)</f>
        <v>12</v>
      </c>
      <c r="N84" s="707">
        <f>SUM(N85:N87)</f>
        <v>5</v>
      </c>
      <c r="O84" s="709">
        <f t="shared" si="31"/>
        <v>27</v>
      </c>
      <c r="R84" s="643"/>
      <c r="W84" s="983" t="str">
        <f ca="1">AB84&amp;"-"&amp;COUNTIF($AB$2:$AB84,$AB84)</f>
        <v>0-2-0-38</v>
      </c>
      <c r="X84" s="983" t="s">
        <v>332</v>
      </c>
      <c r="Y84" s="985">
        <f t="shared" ca="1" si="28"/>
        <v>0</v>
      </c>
      <c r="Z84" s="988">
        <v>2</v>
      </c>
      <c r="AA84" s="985">
        <f t="shared" ca="1" si="29"/>
        <v>0</v>
      </c>
      <c r="AB84" s="987" t="str">
        <f t="shared" ca="1" si="32"/>
        <v>0-2-0</v>
      </c>
    </row>
    <row r="85" spans="1:28" ht="15" customHeight="1" x14ac:dyDescent="0.2">
      <c r="A85" s="130" t="s">
        <v>77</v>
      </c>
      <c r="B85" s="130" t="s">
        <v>127</v>
      </c>
      <c r="C85" s="130" t="s">
        <v>333</v>
      </c>
      <c r="D85" s="974" t="s">
        <v>144</v>
      </c>
      <c r="E85" s="130">
        <v>2</v>
      </c>
      <c r="F85" s="100" t="str">
        <f t="shared" si="35"/>
        <v>ARCHITECTURE-52</v>
      </c>
      <c r="G85" s="100">
        <f t="shared" si="27"/>
        <v>5</v>
      </c>
      <c r="H85" s="133">
        <f t="shared" ca="1" si="38"/>
        <v>0</v>
      </c>
      <c r="I85" s="133">
        <f t="shared" ca="1" si="36"/>
        <v>0</v>
      </c>
      <c r="K85" s="107" t="s">
        <v>147</v>
      </c>
      <c r="L85" s="706">
        <f t="shared" ref="L85:N87" si="40">VLOOKUP(CONCATENATE($K85,L$1),$F:$G,2,FALSE)</f>
        <v>4</v>
      </c>
      <c r="M85" s="706">
        <f t="shared" si="40"/>
        <v>3</v>
      </c>
      <c r="N85" s="706">
        <f t="shared" si="40"/>
        <v>1</v>
      </c>
      <c r="O85" s="708">
        <f t="shared" si="31"/>
        <v>8</v>
      </c>
      <c r="R85" s="642"/>
      <c r="W85" s="983" t="str">
        <f ca="1">AB85&amp;"-"&amp;COUNTIF($AB$2:$AB85,$AB85)</f>
        <v>0-2-0-39</v>
      </c>
      <c r="X85" s="983" t="s">
        <v>333</v>
      </c>
      <c r="Y85" s="985">
        <f t="shared" ca="1" si="28"/>
        <v>0</v>
      </c>
      <c r="Z85" s="988">
        <v>2</v>
      </c>
      <c r="AA85" s="985">
        <f t="shared" ca="1" si="29"/>
        <v>0</v>
      </c>
      <c r="AB85" s="987" t="str">
        <f t="shared" ca="1" si="32"/>
        <v>0-2-0</v>
      </c>
    </row>
    <row r="86" spans="1:28" ht="15" customHeight="1" x14ac:dyDescent="0.2">
      <c r="A86" s="130" t="s">
        <v>77</v>
      </c>
      <c r="B86" s="130" t="s">
        <v>127</v>
      </c>
      <c r="C86" s="130" t="s">
        <v>334</v>
      </c>
      <c r="D86" s="974" t="s">
        <v>146</v>
      </c>
      <c r="E86" s="130">
        <v>2</v>
      </c>
      <c r="F86" s="100" t="str">
        <f t="shared" si="35"/>
        <v>ARCHITECTURE-52</v>
      </c>
      <c r="G86" s="100">
        <f t="shared" si="27"/>
        <v>5</v>
      </c>
      <c r="H86" s="133">
        <f t="shared" ca="1" si="38"/>
        <v>0</v>
      </c>
      <c r="I86" s="133">
        <f t="shared" ca="1" si="36"/>
        <v>0</v>
      </c>
      <c r="K86" s="107" t="s">
        <v>149</v>
      </c>
      <c r="L86" s="706">
        <f t="shared" si="40"/>
        <v>2</v>
      </c>
      <c r="M86" s="706">
        <f t="shared" si="40"/>
        <v>7</v>
      </c>
      <c r="N86" s="706">
        <f t="shared" si="40"/>
        <v>2</v>
      </c>
      <c r="O86" s="708">
        <f t="shared" si="31"/>
        <v>11</v>
      </c>
      <c r="R86" s="643"/>
      <c r="W86" s="983" t="str">
        <f ca="1">AB86&amp;"-"&amp;COUNTIF($AB$2:$AB86,$AB86)</f>
        <v>0-2-0-40</v>
      </c>
      <c r="X86" s="983" t="s">
        <v>334</v>
      </c>
      <c r="Y86" s="985">
        <f t="shared" ca="1" si="28"/>
        <v>0</v>
      </c>
      <c r="Z86" s="988">
        <v>2</v>
      </c>
      <c r="AA86" s="985">
        <f t="shared" ca="1" si="29"/>
        <v>0</v>
      </c>
      <c r="AB86" s="987" t="str">
        <f t="shared" ca="1" si="32"/>
        <v>0-2-0</v>
      </c>
    </row>
    <row r="87" spans="1:28" ht="15" customHeight="1" x14ac:dyDescent="0.2">
      <c r="A87" s="130" t="s">
        <v>77</v>
      </c>
      <c r="B87" s="130" t="s">
        <v>127</v>
      </c>
      <c r="C87" s="130" t="s">
        <v>335</v>
      </c>
      <c r="D87" s="974" t="s">
        <v>148</v>
      </c>
      <c r="E87" s="130">
        <v>3</v>
      </c>
      <c r="F87" s="100" t="str">
        <f t="shared" si="35"/>
        <v>ARCHITECTURE-53</v>
      </c>
      <c r="G87" s="100">
        <f t="shared" si="27"/>
        <v>2</v>
      </c>
      <c r="H87" s="133">
        <f t="shared" ca="1" si="38"/>
        <v>0</v>
      </c>
      <c r="I87" s="133">
        <f t="shared" ca="1" si="36"/>
        <v>0</v>
      </c>
      <c r="K87" s="107" t="s">
        <v>151</v>
      </c>
      <c r="L87" s="706">
        <f t="shared" si="40"/>
        <v>4</v>
      </c>
      <c r="M87" s="706">
        <f t="shared" si="40"/>
        <v>2</v>
      </c>
      <c r="N87" s="706">
        <f t="shared" si="40"/>
        <v>2</v>
      </c>
      <c r="O87" s="708">
        <f t="shared" si="31"/>
        <v>8</v>
      </c>
      <c r="R87" s="643"/>
      <c r="W87" s="983" t="str">
        <f ca="1">AB87&amp;"-"&amp;COUNTIF($AB$2:$AB87,$AB87)</f>
        <v>0-3-0-18</v>
      </c>
      <c r="X87" s="983" t="s">
        <v>335</v>
      </c>
      <c r="Y87" s="985">
        <f t="shared" ca="1" si="28"/>
        <v>0</v>
      </c>
      <c r="Z87" s="988">
        <v>3</v>
      </c>
      <c r="AA87" s="985">
        <f t="shared" ca="1" si="29"/>
        <v>0</v>
      </c>
      <c r="AB87" s="987" t="str">
        <f t="shared" ca="1" si="32"/>
        <v>0-3-0</v>
      </c>
    </row>
    <row r="88" spans="1:28" ht="15" customHeight="1" x14ac:dyDescent="0.2">
      <c r="A88" s="130" t="s">
        <v>77</v>
      </c>
      <c r="B88" s="130" t="s">
        <v>127</v>
      </c>
      <c r="C88" s="130" t="s">
        <v>1008</v>
      </c>
      <c r="D88" s="974" t="s">
        <v>1026</v>
      </c>
      <c r="E88" s="130">
        <v>3</v>
      </c>
      <c r="F88" s="100" t="str">
        <f t="shared" si="35"/>
        <v>ARCHITECTURE-53</v>
      </c>
      <c r="G88" s="100">
        <f t="shared" si="27"/>
        <v>2</v>
      </c>
      <c r="H88" s="133">
        <f t="shared" ca="1" si="38"/>
        <v>0</v>
      </c>
      <c r="I88" s="133">
        <f t="shared" ca="1" si="36"/>
        <v>0</v>
      </c>
      <c r="K88" s="101" t="s">
        <v>79</v>
      </c>
      <c r="L88" s="707">
        <f>SUM(L89:L91)</f>
        <v>2</v>
      </c>
      <c r="M88" s="707">
        <f>SUM(M89:M91)</f>
        <v>13</v>
      </c>
      <c r="N88" s="707">
        <f>SUM(N89:N91)</f>
        <v>9</v>
      </c>
      <c r="O88" s="709">
        <f t="shared" si="31"/>
        <v>24</v>
      </c>
      <c r="R88" s="643"/>
      <c r="W88" s="983" t="str">
        <f ca="1">AB88&amp;"-"&amp;COUNTIF($AB$2:$AB88,$AB88)</f>
        <v>0-3-0-19</v>
      </c>
      <c r="X88" s="983" t="s">
        <v>1008</v>
      </c>
      <c r="Y88" s="985">
        <f t="shared" ca="1" si="28"/>
        <v>0</v>
      </c>
      <c r="Z88" s="988">
        <v>3</v>
      </c>
      <c r="AA88" s="985">
        <f t="shared" ca="1" si="29"/>
        <v>0</v>
      </c>
      <c r="AB88" s="987" t="str">
        <f t="shared" ca="1" si="32"/>
        <v>0-3-0</v>
      </c>
    </row>
    <row r="89" spans="1:28" ht="15" customHeight="1" x14ac:dyDescent="0.2">
      <c r="A89" s="130" t="s">
        <v>77</v>
      </c>
      <c r="B89" s="130" t="s">
        <v>1027</v>
      </c>
      <c r="C89" s="130" t="s">
        <v>1009</v>
      </c>
      <c r="D89" s="974" t="s">
        <v>1028</v>
      </c>
      <c r="E89" s="130">
        <v>2</v>
      </c>
      <c r="F89" s="100" t="str">
        <f t="shared" si="35"/>
        <v>ARCHITECTURE-62</v>
      </c>
      <c r="G89" s="100">
        <f t="shared" si="27"/>
        <v>2</v>
      </c>
      <c r="H89" s="133">
        <f t="shared" ca="1" si="38"/>
        <v>0</v>
      </c>
      <c r="I89" s="133">
        <f t="shared" ca="1" si="36"/>
        <v>0</v>
      </c>
      <c r="K89" s="107" t="s">
        <v>132</v>
      </c>
      <c r="L89" s="706">
        <f t="shared" ref="L89:N90" si="41">VLOOKUP(CONCATENATE($K89,L$1),$F:$G,2,FALSE)</f>
        <v>1</v>
      </c>
      <c r="M89" s="706">
        <f t="shared" si="41"/>
        <v>6</v>
      </c>
      <c r="N89" s="706">
        <f t="shared" si="41"/>
        <v>1</v>
      </c>
      <c r="O89" s="708">
        <f t="shared" si="31"/>
        <v>8</v>
      </c>
      <c r="R89" s="643"/>
      <c r="W89" s="983" t="str">
        <f ca="1">AB89&amp;"-"&amp;COUNTIF($AB$2:$AB89,$AB89)</f>
        <v>1-2-0-6</v>
      </c>
      <c r="X89" s="983" t="s">
        <v>1009</v>
      </c>
      <c r="Y89" s="985">
        <f t="shared" ca="1" si="28"/>
        <v>1</v>
      </c>
      <c r="Z89" s="988">
        <v>2</v>
      </c>
      <c r="AA89" s="985">
        <f t="shared" ca="1" si="29"/>
        <v>0</v>
      </c>
      <c r="AB89" s="987" t="str">
        <f t="shared" ca="1" si="32"/>
        <v>1-2-0</v>
      </c>
    </row>
    <row r="90" spans="1:28" ht="15" customHeight="1" x14ac:dyDescent="0.2">
      <c r="A90" s="130" t="s">
        <v>77</v>
      </c>
      <c r="B90" s="130" t="s">
        <v>1027</v>
      </c>
      <c r="C90" s="130" t="s">
        <v>1010</v>
      </c>
      <c r="D90" s="974" t="s">
        <v>1029</v>
      </c>
      <c r="E90" s="130">
        <v>2</v>
      </c>
      <c r="F90" s="100" t="str">
        <f t="shared" si="35"/>
        <v>ARCHITECTURE-62</v>
      </c>
      <c r="G90" s="100">
        <f t="shared" si="27"/>
        <v>2</v>
      </c>
      <c r="H90" s="133">
        <f t="shared" ca="1" si="38"/>
        <v>0</v>
      </c>
      <c r="I90" s="133">
        <f t="shared" ca="1" si="36"/>
        <v>0</v>
      </c>
      <c r="K90" s="107" t="s">
        <v>135</v>
      </c>
      <c r="L90" s="706">
        <f t="shared" si="41"/>
        <v>1</v>
      </c>
      <c r="M90" s="706">
        <f t="shared" si="41"/>
        <v>5</v>
      </c>
      <c r="N90" s="706">
        <f t="shared" si="41"/>
        <v>4</v>
      </c>
      <c r="O90" s="708">
        <f t="shared" si="31"/>
        <v>10</v>
      </c>
      <c r="R90" s="643"/>
      <c r="W90" s="983" t="str">
        <f ca="1">AB90&amp;"-"&amp;COUNTIF($AB$2:$AB90,$AB90)</f>
        <v>1-2-0-7</v>
      </c>
      <c r="X90" s="983" t="s">
        <v>1010</v>
      </c>
      <c r="Y90" s="985">
        <f t="shared" ca="1" si="28"/>
        <v>1</v>
      </c>
      <c r="Z90" s="988">
        <v>2</v>
      </c>
      <c r="AA90" s="985">
        <f t="shared" ca="1" si="29"/>
        <v>0</v>
      </c>
      <c r="AB90" s="987" t="str">
        <f t="shared" ca="1" si="32"/>
        <v>1-2-0</v>
      </c>
    </row>
    <row r="91" spans="1:28" ht="15" customHeight="1" x14ac:dyDescent="0.2">
      <c r="A91" s="130" t="s">
        <v>77</v>
      </c>
      <c r="B91" s="130" t="s">
        <v>1027</v>
      </c>
      <c r="C91" s="130" t="s">
        <v>1011</v>
      </c>
      <c r="D91" s="974" t="s">
        <v>1030</v>
      </c>
      <c r="E91" s="130">
        <v>3</v>
      </c>
      <c r="F91" s="100" t="str">
        <f t="shared" si="35"/>
        <v>ARCHITECTURE-63</v>
      </c>
      <c r="G91" s="100">
        <f t="shared" si="27"/>
        <v>4</v>
      </c>
      <c r="H91" s="133">
        <f t="shared" ca="1" si="38"/>
        <v>0</v>
      </c>
      <c r="I91" s="133">
        <f t="shared" ca="1" si="36"/>
        <v>0</v>
      </c>
      <c r="K91" s="107" t="s">
        <v>138</v>
      </c>
      <c r="L91" s="706">
        <v>0</v>
      </c>
      <c r="M91" s="706">
        <f>VLOOKUP(CONCATENATE($K91,M$1),$F:$G,2,FALSE)</f>
        <v>2</v>
      </c>
      <c r="N91" s="706">
        <f>VLOOKUP(CONCATENATE($K91,N$1),$F:$G,2,FALSE)</f>
        <v>4</v>
      </c>
      <c r="O91" s="708">
        <f t="shared" si="31"/>
        <v>6</v>
      </c>
      <c r="R91" s="642"/>
      <c r="W91" s="983" t="str">
        <f ca="1">AB91&amp;"-"&amp;COUNTIF($AB$2:$AB91,$AB91)</f>
        <v>1-3-0-10</v>
      </c>
      <c r="X91" s="983" t="s">
        <v>1011</v>
      </c>
      <c r="Y91" s="985">
        <f t="shared" ca="1" si="28"/>
        <v>1</v>
      </c>
      <c r="Z91" s="988">
        <v>3</v>
      </c>
      <c r="AA91" s="985">
        <f t="shared" ca="1" si="29"/>
        <v>0</v>
      </c>
      <c r="AB91" s="987" t="str">
        <f t="shared" ca="1" si="32"/>
        <v>1-3-0</v>
      </c>
    </row>
    <row r="92" spans="1:28" ht="15" customHeight="1" x14ac:dyDescent="0.2">
      <c r="A92" s="130" t="s">
        <v>77</v>
      </c>
      <c r="B92" s="130" t="s">
        <v>1027</v>
      </c>
      <c r="C92" s="130" t="s">
        <v>1012</v>
      </c>
      <c r="D92" s="974" t="s">
        <v>1031</v>
      </c>
      <c r="E92" s="130">
        <v>3</v>
      </c>
      <c r="F92" s="100" t="str">
        <f t="shared" si="35"/>
        <v>ARCHITECTURE-63</v>
      </c>
      <c r="G92" s="100">
        <f t="shared" si="27"/>
        <v>4</v>
      </c>
      <c r="H92" s="133">
        <f t="shared" ca="1" si="38"/>
        <v>0</v>
      </c>
      <c r="I92" s="133">
        <f t="shared" ca="1" si="36"/>
        <v>0</v>
      </c>
      <c r="K92" s="101" t="s">
        <v>69</v>
      </c>
      <c r="L92" s="707">
        <f>SUM(L93:L97)</f>
        <v>9</v>
      </c>
      <c r="M92" s="707">
        <f>SUM(M93:M97)</f>
        <v>23</v>
      </c>
      <c r="N92" s="707">
        <f>SUM(N93:N97)</f>
        <v>17</v>
      </c>
      <c r="O92" s="709">
        <f t="shared" si="31"/>
        <v>49</v>
      </c>
      <c r="R92" s="643"/>
      <c r="W92" s="983" t="str">
        <f ca="1">AB92&amp;"-"&amp;COUNTIF($AB$2:$AB92,$AB92)</f>
        <v>1-3-0-11</v>
      </c>
      <c r="X92" s="983" t="s">
        <v>1012</v>
      </c>
      <c r="Y92" s="985">
        <f t="shared" ca="1" si="28"/>
        <v>1</v>
      </c>
      <c r="Z92" s="988">
        <v>3</v>
      </c>
      <c r="AA92" s="985">
        <f t="shared" ca="1" si="29"/>
        <v>0</v>
      </c>
      <c r="AB92" s="987" t="str">
        <f t="shared" ca="1" si="32"/>
        <v>1-3-0</v>
      </c>
    </row>
    <row r="93" spans="1:28" ht="15" customHeight="1" x14ac:dyDescent="0.2">
      <c r="A93" s="130" t="s">
        <v>77</v>
      </c>
      <c r="B93" s="130" t="s">
        <v>1027</v>
      </c>
      <c r="C93" s="130" t="s">
        <v>1013</v>
      </c>
      <c r="D93" s="974" t="s">
        <v>1032</v>
      </c>
      <c r="E93" s="130">
        <v>3</v>
      </c>
      <c r="F93" s="100" t="str">
        <f t="shared" si="35"/>
        <v>ARCHITECTURE-63</v>
      </c>
      <c r="G93" s="100">
        <f t="shared" si="27"/>
        <v>4</v>
      </c>
      <c r="H93" s="133">
        <f t="shared" ca="1" si="38"/>
        <v>0</v>
      </c>
      <c r="I93" s="133">
        <f t="shared" ca="1" si="36"/>
        <v>0</v>
      </c>
      <c r="K93" s="107" t="s">
        <v>90</v>
      </c>
      <c r="L93" s="706">
        <f t="shared" ref="L93:N96" si="42">VLOOKUP(CONCATENATE($K93,L$1),$F:$G,2,FALSE)</f>
        <v>1</v>
      </c>
      <c r="M93" s="706">
        <f t="shared" si="42"/>
        <v>2</v>
      </c>
      <c r="N93" s="706">
        <f t="shared" si="42"/>
        <v>3</v>
      </c>
      <c r="O93" s="708">
        <f t="shared" si="31"/>
        <v>6</v>
      </c>
      <c r="R93" s="643"/>
      <c r="W93" s="983" t="str">
        <f ca="1">AB93&amp;"-"&amp;COUNTIF($AB$2:$AB93,$AB93)</f>
        <v>1-3-0-12</v>
      </c>
      <c r="X93" s="983" t="s">
        <v>1013</v>
      </c>
      <c r="Y93" s="985">
        <f t="shared" ca="1" si="28"/>
        <v>1</v>
      </c>
      <c r="Z93" s="988">
        <v>3</v>
      </c>
      <c r="AA93" s="985">
        <f t="shared" ca="1" si="29"/>
        <v>0</v>
      </c>
      <c r="AB93" s="987" t="str">
        <f t="shared" ca="1" si="32"/>
        <v>1-3-0</v>
      </c>
    </row>
    <row r="94" spans="1:28" ht="15" customHeight="1" x14ac:dyDescent="0.2">
      <c r="A94" s="130" t="s">
        <v>77</v>
      </c>
      <c r="B94" s="130" t="s">
        <v>1027</v>
      </c>
      <c r="C94" s="130" t="s">
        <v>1014</v>
      </c>
      <c r="D94" s="974" t="s">
        <v>1033</v>
      </c>
      <c r="E94" s="130">
        <v>3</v>
      </c>
      <c r="F94" s="100" t="str">
        <f t="shared" si="35"/>
        <v>ARCHITECTURE-63</v>
      </c>
      <c r="G94" s="100">
        <f t="shared" si="27"/>
        <v>4</v>
      </c>
      <c r="H94" s="133">
        <f t="shared" ca="1" si="38"/>
        <v>0</v>
      </c>
      <c r="I94" s="133">
        <f t="shared" ca="1" si="36"/>
        <v>0</v>
      </c>
      <c r="K94" s="107" t="s">
        <v>92</v>
      </c>
      <c r="L94" s="706">
        <f t="shared" si="42"/>
        <v>2</v>
      </c>
      <c r="M94" s="706">
        <f t="shared" si="42"/>
        <v>5</v>
      </c>
      <c r="N94" s="706">
        <f t="shared" si="42"/>
        <v>2</v>
      </c>
      <c r="O94" s="708">
        <f t="shared" si="31"/>
        <v>9</v>
      </c>
      <c r="R94" s="643"/>
      <c r="W94" s="983" t="str">
        <f ca="1">AB94&amp;"-"&amp;COUNTIF($AB$2:$AB94,$AB94)</f>
        <v>1-3-0-13</v>
      </c>
      <c r="X94" s="983" t="s">
        <v>1014</v>
      </c>
      <c r="Y94" s="985">
        <f t="shared" ca="1" si="28"/>
        <v>1</v>
      </c>
      <c r="Z94" s="988">
        <v>3</v>
      </c>
      <c r="AA94" s="985">
        <f t="shared" ca="1" si="29"/>
        <v>0</v>
      </c>
      <c r="AB94" s="987" t="str">
        <f t="shared" ca="1" si="32"/>
        <v>1-3-0</v>
      </c>
    </row>
    <row r="95" spans="1:28" ht="15" customHeight="1" x14ac:dyDescent="0.2">
      <c r="A95" s="406" t="s">
        <v>48</v>
      </c>
      <c r="B95" s="406" t="s">
        <v>50</v>
      </c>
      <c r="C95" s="406" t="s">
        <v>86</v>
      </c>
      <c r="D95" s="973" t="s">
        <v>5</v>
      </c>
      <c r="E95" s="406">
        <v>1</v>
      </c>
      <c r="F95" s="100" t="str">
        <f t="shared" si="35"/>
        <v>ASSET-11</v>
      </c>
      <c r="G95" s="100">
        <f t="shared" si="27"/>
        <v>1</v>
      </c>
      <c r="H95" s="133">
        <f t="shared" ca="1" si="38"/>
        <v>0</v>
      </c>
      <c r="I95" s="133">
        <f t="shared" ca="1" si="36"/>
        <v>0</v>
      </c>
      <c r="K95" s="107" t="s">
        <v>94</v>
      </c>
      <c r="L95" s="706">
        <f t="shared" si="42"/>
        <v>3</v>
      </c>
      <c r="M95" s="706">
        <f t="shared" si="42"/>
        <v>5</v>
      </c>
      <c r="N95" s="706">
        <f t="shared" si="42"/>
        <v>4</v>
      </c>
      <c r="O95" s="708">
        <f t="shared" si="31"/>
        <v>12</v>
      </c>
      <c r="R95" s="643"/>
      <c r="W95" s="983" t="str">
        <f ca="1">AB95&amp;"-"&amp;COUNTIF($AB$2:$AB95,$AB95)</f>
        <v>0-1-0-15</v>
      </c>
      <c r="X95" s="983" t="s">
        <v>86</v>
      </c>
      <c r="Y95" s="985">
        <f t="shared" ca="1" si="28"/>
        <v>0</v>
      </c>
      <c r="Z95" s="988">
        <v>1</v>
      </c>
      <c r="AA95" s="985">
        <f t="shared" ca="1" si="29"/>
        <v>0</v>
      </c>
      <c r="AB95" s="987" t="str">
        <f t="shared" ca="1" si="32"/>
        <v>0-1-0</v>
      </c>
    </row>
    <row r="96" spans="1:28" ht="15" customHeight="1" x14ac:dyDescent="0.2">
      <c r="A96" s="406" t="s">
        <v>48</v>
      </c>
      <c r="B96" s="406" t="s">
        <v>50</v>
      </c>
      <c r="C96" s="406" t="s">
        <v>88</v>
      </c>
      <c r="D96" s="973" t="s">
        <v>7</v>
      </c>
      <c r="E96" s="406">
        <v>2</v>
      </c>
      <c r="F96" s="100" t="str">
        <f t="shared" si="35"/>
        <v>ASSET-12</v>
      </c>
      <c r="G96" s="100">
        <f t="shared" si="27"/>
        <v>4</v>
      </c>
      <c r="H96" s="133">
        <f t="shared" ca="1" si="38"/>
        <v>0</v>
      </c>
      <c r="I96" s="133">
        <f t="shared" ca="1" si="36"/>
        <v>0</v>
      </c>
      <c r="K96" s="107" t="s">
        <v>96</v>
      </c>
      <c r="L96" s="706">
        <f t="shared" si="42"/>
        <v>3</v>
      </c>
      <c r="M96" s="706">
        <f t="shared" si="42"/>
        <v>9</v>
      </c>
      <c r="N96" s="706">
        <f t="shared" si="42"/>
        <v>4</v>
      </c>
      <c r="O96" s="708">
        <f t="shared" si="31"/>
        <v>16</v>
      </c>
      <c r="R96" s="642"/>
      <c r="W96" s="983" t="str">
        <f ca="1">AB96&amp;"-"&amp;COUNTIF($AB$2:$AB96,$AB96)</f>
        <v>0-2-0-41</v>
      </c>
      <c r="X96" s="983" t="s">
        <v>88</v>
      </c>
      <c r="Y96" s="985">
        <f t="shared" ca="1" si="28"/>
        <v>0</v>
      </c>
      <c r="Z96" s="988">
        <v>2</v>
      </c>
      <c r="AA96" s="985">
        <f t="shared" ca="1" si="29"/>
        <v>0</v>
      </c>
      <c r="AB96" s="987" t="str">
        <f t="shared" ca="1" si="32"/>
        <v>0-2-0</v>
      </c>
    </row>
    <row r="97" spans="1:28" ht="15" customHeight="1" x14ac:dyDescent="0.2">
      <c r="A97" s="406" t="s">
        <v>48</v>
      </c>
      <c r="B97" s="406" t="s">
        <v>50</v>
      </c>
      <c r="C97" s="406" t="s">
        <v>89</v>
      </c>
      <c r="D97" s="973" t="s">
        <v>8</v>
      </c>
      <c r="E97" s="406">
        <v>2</v>
      </c>
      <c r="F97" s="100" t="str">
        <f t="shared" si="35"/>
        <v>ASSET-12</v>
      </c>
      <c r="G97" s="100">
        <f t="shared" si="27"/>
        <v>4</v>
      </c>
      <c r="H97" s="133">
        <f t="shared" ca="1" si="38"/>
        <v>0</v>
      </c>
      <c r="I97" s="133">
        <f t="shared" ca="1" si="36"/>
        <v>0</v>
      </c>
      <c r="K97" s="107" t="s">
        <v>1025</v>
      </c>
      <c r="L97" s="706">
        <v>0</v>
      </c>
      <c r="M97" s="706">
        <f>VLOOKUP(CONCATENATE($K97,M$1),$F:$G,2,FALSE)</f>
        <v>2</v>
      </c>
      <c r="N97" s="706">
        <f>VLOOKUP(CONCATENATE($K97,N$1),$F:$G,2,FALSE)</f>
        <v>4</v>
      </c>
      <c r="O97" s="708">
        <f t="shared" si="31"/>
        <v>6</v>
      </c>
      <c r="R97" s="643"/>
      <c r="W97" s="983" t="str">
        <f ca="1">AB97&amp;"-"&amp;COUNTIF($AB$2:$AB97,$AB97)</f>
        <v>0-2-0-42</v>
      </c>
      <c r="X97" s="983" t="s">
        <v>89</v>
      </c>
      <c r="Y97" s="985">
        <f t="shared" ca="1" si="28"/>
        <v>0</v>
      </c>
      <c r="Z97" s="988">
        <v>2</v>
      </c>
      <c r="AA97" s="985">
        <f t="shared" ca="1" si="29"/>
        <v>0</v>
      </c>
      <c r="AB97" s="987" t="str">
        <f t="shared" ca="1" si="32"/>
        <v>0-2-0</v>
      </c>
    </row>
    <row r="98" spans="1:28" ht="15" customHeight="1" x14ac:dyDescent="0.2">
      <c r="A98" s="406" t="s">
        <v>48</v>
      </c>
      <c r="B98" s="406" t="s">
        <v>50</v>
      </c>
      <c r="C98" s="406" t="s">
        <v>91</v>
      </c>
      <c r="D98" s="973" t="s">
        <v>9</v>
      </c>
      <c r="E98" s="406">
        <v>2</v>
      </c>
      <c r="F98" s="100" t="str">
        <f t="shared" si="35"/>
        <v>ASSET-12</v>
      </c>
      <c r="G98" s="100">
        <f t="shared" si="27"/>
        <v>4</v>
      </c>
      <c r="H98" s="133">
        <f t="shared" ca="1" si="38"/>
        <v>0</v>
      </c>
      <c r="I98" s="133">
        <f t="shared" ca="1" si="36"/>
        <v>0</v>
      </c>
      <c r="K98" s="101" t="s">
        <v>0</v>
      </c>
      <c r="L98" s="707">
        <f>SUM(L99:L103)</f>
        <v>4</v>
      </c>
      <c r="M98" s="707">
        <f>SUM(M99:M103)</f>
        <v>19</v>
      </c>
      <c r="N98" s="707">
        <f>SUM(N99:N103)</f>
        <v>16</v>
      </c>
      <c r="O98" s="709">
        <f t="shared" si="31"/>
        <v>39</v>
      </c>
      <c r="R98" s="643"/>
      <c r="W98" s="983" t="str">
        <f ca="1">AB98&amp;"-"&amp;COUNTIF($AB$2:$AB98,$AB98)</f>
        <v>0-2-0-43</v>
      </c>
      <c r="X98" s="983" t="s">
        <v>91</v>
      </c>
      <c r="Y98" s="985">
        <f t="shared" ref="Y98:Y129" ca="1" si="43">VLOOKUP(LEFT($X98,LEN($X98)-1),$K:$O,5,FALSE)</f>
        <v>0</v>
      </c>
      <c r="Z98" s="988">
        <v>2</v>
      </c>
      <c r="AA98" s="985">
        <f t="shared" ca="1" si="29"/>
        <v>0</v>
      </c>
      <c r="AB98" s="987" t="str">
        <f t="shared" ca="1" si="32"/>
        <v>0-2-0</v>
      </c>
    </row>
    <row r="99" spans="1:28" ht="15" customHeight="1" x14ac:dyDescent="0.2">
      <c r="A99" s="406" t="s">
        <v>48</v>
      </c>
      <c r="B99" s="406" t="s">
        <v>50</v>
      </c>
      <c r="C99" s="406" t="s">
        <v>93</v>
      </c>
      <c r="D99" s="973" t="s">
        <v>10</v>
      </c>
      <c r="E99" s="406">
        <v>2</v>
      </c>
      <c r="F99" s="100" t="str">
        <f t="shared" si="35"/>
        <v>ASSET-12</v>
      </c>
      <c r="G99" s="100">
        <f t="shared" si="27"/>
        <v>4</v>
      </c>
      <c r="H99" s="133">
        <f t="shared" ca="1" si="38"/>
        <v>0</v>
      </c>
      <c r="I99" s="133">
        <f t="shared" ca="1" si="36"/>
        <v>0</v>
      </c>
      <c r="K99" s="107" t="s">
        <v>40</v>
      </c>
      <c r="L99" s="706">
        <f t="shared" ref="L99:N102" si="44">VLOOKUP(CONCATENATE($K99,L$1),$F:$G,2,FALSE)</f>
        <v>1</v>
      </c>
      <c r="M99" s="706">
        <f t="shared" si="44"/>
        <v>5</v>
      </c>
      <c r="N99" s="706">
        <f t="shared" si="44"/>
        <v>2</v>
      </c>
      <c r="O99" s="708">
        <f t="shared" si="31"/>
        <v>8</v>
      </c>
      <c r="R99" s="643"/>
      <c r="W99" s="983" t="str">
        <f ca="1">AB99&amp;"-"&amp;COUNTIF($AB$2:$AB99,$AB99)</f>
        <v>0-2-0-44</v>
      </c>
      <c r="X99" s="983" t="s">
        <v>93</v>
      </c>
      <c r="Y99" s="985">
        <f t="shared" ca="1" si="43"/>
        <v>0</v>
      </c>
      <c r="Z99" s="988">
        <v>2</v>
      </c>
      <c r="AA99" s="985">
        <f t="shared" ca="1" si="29"/>
        <v>0</v>
      </c>
      <c r="AB99" s="987" t="str">
        <f t="shared" ca="1" si="32"/>
        <v>0-2-0</v>
      </c>
    </row>
    <row r="100" spans="1:28" ht="15" customHeight="1" x14ac:dyDescent="0.2">
      <c r="A100" s="406" t="s">
        <v>48</v>
      </c>
      <c r="B100" s="406" t="s">
        <v>50</v>
      </c>
      <c r="C100" s="406" t="s">
        <v>95</v>
      </c>
      <c r="D100" s="973" t="s">
        <v>11</v>
      </c>
      <c r="E100" s="406">
        <v>3</v>
      </c>
      <c r="F100" s="100" t="str">
        <f t="shared" si="35"/>
        <v>ASSET-13</v>
      </c>
      <c r="G100" s="100">
        <f t="shared" si="27"/>
        <v>3</v>
      </c>
      <c r="H100" s="133">
        <f t="shared" ca="1" si="38"/>
        <v>0</v>
      </c>
      <c r="I100" s="133">
        <f t="shared" ca="1" si="36"/>
        <v>0</v>
      </c>
      <c r="K100" s="107" t="s">
        <v>44</v>
      </c>
      <c r="L100" s="706">
        <f t="shared" si="44"/>
        <v>1</v>
      </c>
      <c r="M100" s="706">
        <f t="shared" si="44"/>
        <v>6</v>
      </c>
      <c r="N100" s="706">
        <f t="shared" si="44"/>
        <v>6</v>
      </c>
      <c r="O100" s="708">
        <f t="shared" si="31"/>
        <v>13</v>
      </c>
      <c r="R100" s="642"/>
      <c r="W100" s="983" t="str">
        <f ca="1">AB100&amp;"-"&amp;COUNTIF($AB$2:$AB100,$AB100)</f>
        <v>0-3-0-20</v>
      </c>
      <c r="X100" s="983" t="s">
        <v>95</v>
      </c>
      <c r="Y100" s="985">
        <f t="shared" ca="1" si="43"/>
        <v>0</v>
      </c>
      <c r="Z100" s="988">
        <v>3</v>
      </c>
      <c r="AA100" s="985">
        <f t="shared" ca="1" si="29"/>
        <v>0</v>
      </c>
      <c r="AB100" s="987" t="str">
        <f t="shared" ca="1" si="32"/>
        <v>0-3-0</v>
      </c>
    </row>
    <row r="101" spans="1:28" ht="15" customHeight="1" x14ac:dyDescent="0.2">
      <c r="A101" s="406" t="s">
        <v>48</v>
      </c>
      <c r="B101" s="406" t="s">
        <v>50</v>
      </c>
      <c r="C101" s="406" t="s">
        <v>939</v>
      </c>
      <c r="D101" s="973" t="s">
        <v>12</v>
      </c>
      <c r="E101" s="406">
        <v>3</v>
      </c>
      <c r="F101" s="100" t="str">
        <f t="shared" si="35"/>
        <v>ASSET-13</v>
      </c>
      <c r="G101" s="100">
        <f t="shared" si="27"/>
        <v>3</v>
      </c>
      <c r="H101" s="133">
        <f t="shared" ca="1" si="38"/>
        <v>0</v>
      </c>
      <c r="I101" s="133">
        <f t="shared" ca="1" si="36"/>
        <v>0</v>
      </c>
      <c r="K101" s="107" t="s">
        <v>46</v>
      </c>
      <c r="L101" s="706">
        <f t="shared" si="44"/>
        <v>1</v>
      </c>
      <c r="M101" s="706">
        <f t="shared" si="44"/>
        <v>5</v>
      </c>
      <c r="N101" s="706">
        <f t="shared" si="44"/>
        <v>1</v>
      </c>
      <c r="O101" s="708">
        <f t="shared" si="31"/>
        <v>7</v>
      </c>
      <c r="R101" s="643"/>
      <c r="W101" s="983" t="str">
        <f ca="1">AB101&amp;"-"&amp;COUNTIF($AB$2:$AB101,$AB101)</f>
        <v>0-3-0-21</v>
      </c>
      <c r="X101" s="983" t="s">
        <v>939</v>
      </c>
      <c r="Y101" s="985">
        <f t="shared" ca="1" si="43"/>
        <v>0</v>
      </c>
      <c r="Z101" s="988">
        <v>3</v>
      </c>
      <c r="AA101" s="985">
        <f t="shared" ca="1" si="29"/>
        <v>0</v>
      </c>
      <c r="AB101" s="987" t="str">
        <f t="shared" ca="1" si="32"/>
        <v>0-3-0</v>
      </c>
    </row>
    <row r="102" spans="1:28" ht="15" customHeight="1" x14ac:dyDescent="0.2">
      <c r="A102" s="406" t="s">
        <v>48</v>
      </c>
      <c r="B102" s="406" t="s">
        <v>50</v>
      </c>
      <c r="C102" s="406" t="s">
        <v>940</v>
      </c>
      <c r="D102" s="973" t="s">
        <v>13</v>
      </c>
      <c r="E102" s="406">
        <v>3</v>
      </c>
      <c r="F102" s="100" t="str">
        <f t="shared" si="35"/>
        <v>ASSET-13</v>
      </c>
      <c r="G102" s="100">
        <f t="shared" si="27"/>
        <v>3</v>
      </c>
      <c r="H102" s="133">
        <f t="shared" ca="1" si="38"/>
        <v>0</v>
      </c>
      <c r="I102" s="133">
        <f t="shared" ca="1" si="36"/>
        <v>0</v>
      </c>
      <c r="K102" s="107" t="s">
        <v>1015</v>
      </c>
      <c r="L102" s="706">
        <f t="shared" si="44"/>
        <v>1</v>
      </c>
      <c r="M102" s="706">
        <f t="shared" si="44"/>
        <v>1</v>
      </c>
      <c r="N102" s="706">
        <f t="shared" si="44"/>
        <v>3</v>
      </c>
      <c r="O102" s="708">
        <f t="shared" si="31"/>
        <v>5</v>
      </c>
      <c r="R102" s="643"/>
      <c r="W102" s="983" t="str">
        <f ca="1">AB102&amp;"-"&amp;COUNTIF($AB$2:$AB102,$AB102)</f>
        <v>0-3-0-22</v>
      </c>
      <c r="X102" s="983" t="s">
        <v>940</v>
      </c>
      <c r="Y102" s="985">
        <f t="shared" ca="1" si="43"/>
        <v>0</v>
      </c>
      <c r="Z102" s="988">
        <v>3</v>
      </c>
      <c r="AA102" s="985">
        <f t="shared" ca="1" si="29"/>
        <v>0</v>
      </c>
      <c r="AB102" s="987" t="str">
        <f t="shared" ca="1" si="32"/>
        <v>0-3-0</v>
      </c>
    </row>
    <row r="103" spans="1:28" ht="15" customHeight="1" x14ac:dyDescent="0.2">
      <c r="A103" s="406" t="s">
        <v>48</v>
      </c>
      <c r="B103" s="406" t="s">
        <v>52</v>
      </c>
      <c r="C103" s="406" t="s">
        <v>97</v>
      </c>
      <c r="D103" s="973" t="s">
        <v>17</v>
      </c>
      <c r="E103" s="406">
        <v>1</v>
      </c>
      <c r="F103" s="100" t="str">
        <f t="shared" si="35"/>
        <v>ASSET-21</v>
      </c>
      <c r="G103" s="100">
        <f t="shared" si="27"/>
        <v>1</v>
      </c>
      <c r="H103" s="133">
        <f t="shared" ca="1" si="38"/>
        <v>0</v>
      </c>
      <c r="I103" s="133">
        <f t="shared" ca="1" si="36"/>
        <v>0</v>
      </c>
      <c r="K103" s="107" t="s">
        <v>1016</v>
      </c>
      <c r="L103" s="706">
        <v>0</v>
      </c>
      <c r="M103" s="706">
        <f>VLOOKUP(CONCATENATE($K103,M$1),$F:$G,2,FALSE)</f>
        <v>2</v>
      </c>
      <c r="N103" s="706">
        <f>VLOOKUP(CONCATENATE($K103,N$1),$F:$G,2,FALSE)</f>
        <v>4</v>
      </c>
      <c r="O103" s="708">
        <f t="shared" si="31"/>
        <v>6</v>
      </c>
      <c r="R103" s="643"/>
      <c r="W103" s="983" t="str">
        <f ca="1">AB103&amp;"-"&amp;COUNTIF($AB$2:$AB103,$AB103)</f>
        <v>0-1-0-16</v>
      </c>
      <c r="X103" s="983" t="s">
        <v>97</v>
      </c>
      <c r="Y103" s="985">
        <f t="shared" ca="1" si="43"/>
        <v>0</v>
      </c>
      <c r="Z103" s="988">
        <v>1</v>
      </c>
      <c r="AA103" s="985">
        <f t="shared" ca="1" si="29"/>
        <v>0</v>
      </c>
      <c r="AB103" s="987" t="str">
        <f t="shared" ca="1" si="32"/>
        <v>0-1-0</v>
      </c>
    </row>
    <row r="104" spans="1:28" ht="15" customHeight="1" x14ac:dyDescent="0.2">
      <c r="A104" s="406" t="s">
        <v>48</v>
      </c>
      <c r="B104" s="406" t="s">
        <v>52</v>
      </c>
      <c r="C104" s="406" t="s">
        <v>98</v>
      </c>
      <c r="D104" s="973" t="s">
        <v>18</v>
      </c>
      <c r="E104" s="406">
        <v>2</v>
      </c>
      <c r="F104" s="100" t="str">
        <f t="shared" si="35"/>
        <v>ASSET-22</v>
      </c>
      <c r="G104" s="100">
        <f t="shared" si="27"/>
        <v>4</v>
      </c>
      <c r="H104" s="133">
        <f t="shared" ca="1" si="38"/>
        <v>0</v>
      </c>
      <c r="I104" s="133">
        <f t="shared" ca="1" si="36"/>
        <v>0</v>
      </c>
      <c r="K104" s="101" t="s">
        <v>67</v>
      </c>
      <c r="L104" s="707">
        <f>SUM(L105:L108)</f>
        <v>3</v>
      </c>
      <c r="M104" s="707">
        <f>SUM(M105:M108)</f>
        <v>13</v>
      </c>
      <c r="N104" s="707">
        <f>SUM(N105:N108)</f>
        <v>12</v>
      </c>
      <c r="O104" s="709">
        <f t="shared" si="31"/>
        <v>28</v>
      </c>
      <c r="R104" s="642"/>
      <c r="W104" s="983" t="str">
        <f ca="1">AB104&amp;"-"&amp;COUNTIF($AB$2:$AB104,$AB104)</f>
        <v>0-2-0-45</v>
      </c>
      <c r="X104" s="983" t="s">
        <v>98</v>
      </c>
      <c r="Y104" s="985">
        <f t="shared" ca="1" si="43"/>
        <v>0</v>
      </c>
      <c r="Z104" s="988">
        <v>2</v>
      </c>
      <c r="AA104" s="985">
        <f t="shared" ca="1" si="29"/>
        <v>0</v>
      </c>
      <c r="AB104" s="987" t="str">
        <f t="shared" ca="1" si="32"/>
        <v>0-2-0</v>
      </c>
    </row>
    <row r="105" spans="1:28" ht="15" customHeight="1" x14ac:dyDescent="0.2">
      <c r="A105" s="406" t="s">
        <v>48</v>
      </c>
      <c r="B105" s="406" t="s">
        <v>52</v>
      </c>
      <c r="C105" s="406" t="s">
        <v>99</v>
      </c>
      <c r="D105" s="973" t="s">
        <v>19</v>
      </c>
      <c r="E105" s="406">
        <v>2</v>
      </c>
      <c r="F105" s="100" t="str">
        <f t="shared" si="35"/>
        <v>ASSET-22</v>
      </c>
      <c r="G105" s="100">
        <f t="shared" si="27"/>
        <v>4</v>
      </c>
      <c r="H105" s="133">
        <f t="shared" ca="1" si="38"/>
        <v>0</v>
      </c>
      <c r="I105" s="133">
        <f t="shared" ca="1" si="36"/>
        <v>0</v>
      </c>
      <c r="K105" s="107" t="s">
        <v>81</v>
      </c>
      <c r="L105" s="706">
        <f t="shared" ref="L105:N106" si="45">VLOOKUP(CONCATENATE($K105,L$1),$F:$G,2,FALSE)</f>
        <v>1</v>
      </c>
      <c r="M105" s="706">
        <f t="shared" si="45"/>
        <v>4</v>
      </c>
      <c r="N105" s="706">
        <f t="shared" si="45"/>
        <v>1</v>
      </c>
      <c r="O105" s="708">
        <f t="shared" si="31"/>
        <v>6</v>
      </c>
      <c r="R105" s="107"/>
      <c r="W105" s="983" t="str">
        <f ca="1">AB105&amp;"-"&amp;COUNTIF($AB$2:$AB105,$AB105)</f>
        <v>0-2-0-46</v>
      </c>
      <c r="X105" s="983" t="s">
        <v>99</v>
      </c>
      <c r="Y105" s="985">
        <f t="shared" ca="1" si="43"/>
        <v>0</v>
      </c>
      <c r="Z105" s="988">
        <v>2</v>
      </c>
      <c r="AA105" s="985">
        <f t="shared" ca="1" si="29"/>
        <v>0</v>
      </c>
      <c r="AB105" s="987" t="str">
        <f t="shared" ca="1" si="32"/>
        <v>0-2-0</v>
      </c>
    </row>
    <row r="106" spans="1:28" ht="15" customHeight="1" x14ac:dyDescent="0.2">
      <c r="A106" s="406" t="s">
        <v>48</v>
      </c>
      <c r="B106" s="406" t="s">
        <v>52</v>
      </c>
      <c r="C106" s="406" t="s">
        <v>100</v>
      </c>
      <c r="D106" s="973" t="s">
        <v>20</v>
      </c>
      <c r="E106" s="406">
        <v>2</v>
      </c>
      <c r="F106" s="100" t="str">
        <f t="shared" si="35"/>
        <v>ASSET-22</v>
      </c>
      <c r="G106" s="100">
        <f t="shared" si="27"/>
        <v>4</v>
      </c>
      <c r="H106" s="133">
        <f t="shared" ca="1" si="38"/>
        <v>0</v>
      </c>
      <c r="I106" s="133">
        <f t="shared" ca="1" si="36"/>
        <v>0</v>
      </c>
      <c r="K106" s="107" t="s">
        <v>83</v>
      </c>
      <c r="L106" s="706">
        <f t="shared" si="45"/>
        <v>2</v>
      </c>
      <c r="M106" s="706">
        <f t="shared" si="45"/>
        <v>4</v>
      </c>
      <c r="N106" s="706">
        <f t="shared" si="45"/>
        <v>3</v>
      </c>
      <c r="O106" s="708">
        <f t="shared" si="31"/>
        <v>9</v>
      </c>
      <c r="R106" s="107"/>
      <c r="W106" s="983" t="str">
        <f ca="1">AB106&amp;"-"&amp;COUNTIF($AB$2:$AB106,$AB106)</f>
        <v>0-2-0-47</v>
      </c>
      <c r="X106" s="983" t="s">
        <v>100</v>
      </c>
      <c r="Y106" s="985">
        <f t="shared" ca="1" si="43"/>
        <v>0</v>
      </c>
      <c r="Z106" s="988">
        <v>2</v>
      </c>
      <c r="AA106" s="985">
        <f t="shared" ca="1" si="29"/>
        <v>0</v>
      </c>
      <c r="AB106" s="987" t="str">
        <f t="shared" ca="1" si="32"/>
        <v>0-2-0</v>
      </c>
    </row>
    <row r="107" spans="1:28" ht="15" customHeight="1" x14ac:dyDescent="0.2">
      <c r="A107" s="406" t="s">
        <v>48</v>
      </c>
      <c r="B107" s="406" t="s">
        <v>52</v>
      </c>
      <c r="C107" s="406" t="s">
        <v>101</v>
      </c>
      <c r="D107" s="973" t="s">
        <v>21</v>
      </c>
      <c r="E107" s="406">
        <v>2</v>
      </c>
      <c r="F107" s="100" t="str">
        <f t="shared" si="35"/>
        <v>ASSET-22</v>
      </c>
      <c r="G107" s="100">
        <f t="shared" si="27"/>
        <v>4</v>
      </c>
      <c r="H107" s="133">
        <f t="shared" ca="1" si="38"/>
        <v>0</v>
      </c>
      <c r="I107" s="133">
        <f t="shared" ca="1" si="36"/>
        <v>0</v>
      </c>
      <c r="K107" s="107" t="s">
        <v>85</v>
      </c>
      <c r="L107" s="706">
        <v>0</v>
      </c>
      <c r="M107" s="706">
        <f>VLOOKUP(CONCATENATE($K107,M$1),$F:$G,2,FALSE)</f>
        <v>3</v>
      </c>
      <c r="N107" s="706">
        <f>VLOOKUP(CONCATENATE($K107,N$1),$F:$G,2,FALSE)</f>
        <v>4</v>
      </c>
      <c r="O107" s="708">
        <f t="shared" si="31"/>
        <v>7</v>
      </c>
      <c r="R107" s="107"/>
      <c r="W107" s="983" t="str">
        <f ca="1">AB107&amp;"-"&amp;COUNTIF($AB$2:$AB107,$AB107)</f>
        <v>0-2-0-48</v>
      </c>
      <c r="X107" s="983" t="s">
        <v>101</v>
      </c>
      <c r="Y107" s="985">
        <f t="shared" ca="1" si="43"/>
        <v>0</v>
      </c>
      <c r="Z107" s="988">
        <v>2</v>
      </c>
      <c r="AA107" s="985">
        <f t="shared" ca="1" si="29"/>
        <v>0</v>
      </c>
      <c r="AB107" s="987" t="str">
        <f t="shared" ca="1" si="32"/>
        <v>0-2-0</v>
      </c>
    </row>
    <row r="108" spans="1:28" ht="15" customHeight="1" x14ac:dyDescent="0.2">
      <c r="A108" s="406" t="s">
        <v>48</v>
      </c>
      <c r="B108" s="406" t="s">
        <v>52</v>
      </c>
      <c r="C108" s="406" t="s">
        <v>102</v>
      </c>
      <c r="D108" s="973" t="s">
        <v>103</v>
      </c>
      <c r="E108" s="406">
        <v>3</v>
      </c>
      <c r="F108" s="100" t="str">
        <f t="shared" si="35"/>
        <v>ASSET-23</v>
      </c>
      <c r="G108" s="100">
        <f t="shared" si="27"/>
        <v>3</v>
      </c>
      <c r="H108" s="133">
        <f t="shared" ca="1" si="38"/>
        <v>0</v>
      </c>
      <c r="I108" s="133">
        <f t="shared" ca="1" si="36"/>
        <v>0</v>
      </c>
      <c r="K108" s="107" t="s">
        <v>87</v>
      </c>
      <c r="L108" s="706">
        <v>0</v>
      </c>
      <c r="M108" s="706">
        <f>VLOOKUP(CONCATENATE($K108,M$1),$F:$G,2,FALSE)</f>
        <v>2</v>
      </c>
      <c r="N108" s="706">
        <f>VLOOKUP(CONCATENATE($K108,N$1),$F:$G,2,FALSE)</f>
        <v>4</v>
      </c>
      <c r="O108" s="708">
        <f t="shared" si="31"/>
        <v>6</v>
      </c>
      <c r="R108" s="107"/>
      <c r="W108" s="983" t="str">
        <f ca="1">AB108&amp;"-"&amp;COUNTIF($AB$2:$AB108,$AB108)</f>
        <v>0-3-0-23</v>
      </c>
      <c r="X108" s="983" t="s">
        <v>102</v>
      </c>
      <c r="Y108" s="985">
        <f t="shared" ca="1" si="43"/>
        <v>0</v>
      </c>
      <c r="Z108" s="988">
        <v>3</v>
      </c>
      <c r="AA108" s="985">
        <f t="shared" ca="1" si="29"/>
        <v>0</v>
      </c>
      <c r="AB108" s="987" t="str">
        <f t="shared" ca="1" si="32"/>
        <v>0-3-0</v>
      </c>
    </row>
    <row r="109" spans="1:28" ht="15" customHeight="1" x14ac:dyDescent="0.2">
      <c r="A109" s="406" t="s">
        <v>48</v>
      </c>
      <c r="B109" s="406" t="s">
        <v>52</v>
      </c>
      <c r="C109" s="406" t="s">
        <v>942</v>
      </c>
      <c r="D109" s="973" t="s">
        <v>165</v>
      </c>
      <c r="E109" s="406">
        <v>3</v>
      </c>
      <c r="F109" s="100" t="str">
        <f t="shared" si="35"/>
        <v>ASSET-23</v>
      </c>
      <c r="G109" s="100">
        <f t="shared" si="27"/>
        <v>3</v>
      </c>
      <c r="H109" s="133">
        <f t="shared" ca="1" si="38"/>
        <v>0</v>
      </c>
      <c r="I109" s="133">
        <f t="shared" ca="1" si="36"/>
        <v>0</v>
      </c>
      <c r="K109" s="101" t="s">
        <v>2619</v>
      </c>
      <c r="L109" s="707">
        <f>SUM(L110:L112)</f>
        <v>4</v>
      </c>
      <c r="M109" s="707">
        <f>SUM(M110:M112)</f>
        <v>10</v>
      </c>
      <c r="N109" s="707">
        <f>SUM(N110:N112)</f>
        <v>11</v>
      </c>
      <c r="O109" s="709">
        <f t="shared" si="31"/>
        <v>25</v>
      </c>
      <c r="R109" s="107"/>
      <c r="W109" s="983" t="str">
        <f ca="1">AB109&amp;"-"&amp;COUNTIF($AB$2:$AB109,$AB109)</f>
        <v>0-3-0-24</v>
      </c>
      <c r="X109" s="983" t="s">
        <v>942</v>
      </c>
      <c r="Y109" s="985">
        <f t="shared" ca="1" si="43"/>
        <v>0</v>
      </c>
      <c r="Z109" s="988">
        <v>3</v>
      </c>
      <c r="AA109" s="985">
        <f t="shared" ca="1" si="29"/>
        <v>0</v>
      </c>
      <c r="AB109" s="987" t="str">
        <f t="shared" ca="1" si="32"/>
        <v>0-3-0</v>
      </c>
    </row>
    <row r="110" spans="1:28" ht="15" customHeight="1" x14ac:dyDescent="0.2">
      <c r="A110" s="406" t="s">
        <v>48</v>
      </c>
      <c r="B110" s="406" t="s">
        <v>52</v>
      </c>
      <c r="C110" s="406" t="s">
        <v>943</v>
      </c>
      <c r="D110" s="973" t="s">
        <v>167</v>
      </c>
      <c r="E110" s="406">
        <v>3</v>
      </c>
      <c r="F110" s="100" t="str">
        <f t="shared" si="35"/>
        <v>ASSET-23</v>
      </c>
      <c r="G110" s="100">
        <f t="shared" si="27"/>
        <v>3</v>
      </c>
      <c r="H110" s="133">
        <f t="shared" ca="1" si="38"/>
        <v>0</v>
      </c>
      <c r="I110" s="133">
        <f t="shared" ca="1" si="36"/>
        <v>0</v>
      </c>
      <c r="K110" s="107" t="s">
        <v>2621</v>
      </c>
      <c r="L110" s="706">
        <f t="shared" ref="L110:N111" si="46">VLOOKUP(CONCATENATE($K110,L$1),$F:$G,2,FALSE)</f>
        <v>2</v>
      </c>
      <c r="M110" s="706">
        <f t="shared" si="46"/>
        <v>3</v>
      </c>
      <c r="N110" s="706">
        <f t="shared" si="46"/>
        <v>1</v>
      </c>
      <c r="O110" s="708">
        <f t="shared" si="31"/>
        <v>6</v>
      </c>
      <c r="W110" s="983" t="str">
        <f ca="1">AB110&amp;"-"&amp;COUNTIF($AB$2:$AB110,$AB110)</f>
        <v>0-3-0-25</v>
      </c>
      <c r="X110" s="983" t="s">
        <v>943</v>
      </c>
      <c r="Y110" s="985">
        <f t="shared" ca="1" si="43"/>
        <v>0</v>
      </c>
      <c r="Z110" s="988">
        <v>3</v>
      </c>
      <c r="AA110" s="985">
        <f t="shared" ca="1" si="29"/>
        <v>0</v>
      </c>
      <c r="AB110" s="987" t="str">
        <f t="shared" ca="1" si="32"/>
        <v>0-3-0</v>
      </c>
    </row>
    <row r="111" spans="1:28" ht="15" customHeight="1" x14ac:dyDescent="0.2">
      <c r="A111" s="406" t="s">
        <v>48</v>
      </c>
      <c r="B111" s="406" t="s">
        <v>54</v>
      </c>
      <c r="C111" s="406" t="s">
        <v>105</v>
      </c>
      <c r="D111" s="973" t="s">
        <v>22</v>
      </c>
      <c r="E111" s="406">
        <v>1</v>
      </c>
      <c r="F111" s="100" t="str">
        <f t="shared" si="35"/>
        <v>ASSET-31</v>
      </c>
      <c r="G111" s="100">
        <f t="shared" si="27"/>
        <v>1</v>
      </c>
      <c r="H111" s="133">
        <f t="shared" ca="1" si="38"/>
        <v>0</v>
      </c>
      <c r="I111" s="133">
        <f t="shared" ca="1" si="36"/>
        <v>0</v>
      </c>
      <c r="K111" s="107" t="s">
        <v>2629</v>
      </c>
      <c r="L111" s="706">
        <f t="shared" si="46"/>
        <v>2</v>
      </c>
      <c r="M111" s="706">
        <f t="shared" si="46"/>
        <v>5</v>
      </c>
      <c r="N111" s="706">
        <f t="shared" si="46"/>
        <v>6</v>
      </c>
      <c r="O111" s="708">
        <f t="shared" si="31"/>
        <v>13</v>
      </c>
      <c r="W111" s="983" t="str">
        <f ca="1">AB111&amp;"-"&amp;COUNTIF($AB$2:$AB111,$AB111)</f>
        <v>0-1-0-17</v>
      </c>
      <c r="X111" s="983" t="s">
        <v>105</v>
      </c>
      <c r="Y111" s="985">
        <f t="shared" ca="1" si="43"/>
        <v>0</v>
      </c>
      <c r="Z111" s="988">
        <v>1</v>
      </c>
      <c r="AA111" s="985">
        <f t="shared" ca="1" si="29"/>
        <v>0</v>
      </c>
      <c r="AB111" s="987" t="str">
        <f t="shared" ca="1" si="32"/>
        <v>0-1-0</v>
      </c>
    </row>
    <row r="112" spans="1:28" ht="15" customHeight="1" x14ac:dyDescent="0.2">
      <c r="A112" s="406" t="s">
        <v>48</v>
      </c>
      <c r="B112" s="406" t="s">
        <v>54</v>
      </c>
      <c r="C112" s="406" t="s">
        <v>107</v>
      </c>
      <c r="D112" s="973" t="s">
        <v>23</v>
      </c>
      <c r="E112" s="406">
        <v>2</v>
      </c>
      <c r="F112" s="100" t="str">
        <f t="shared" si="35"/>
        <v>ASSET-32</v>
      </c>
      <c r="G112" s="100">
        <f t="shared" si="27"/>
        <v>3</v>
      </c>
      <c r="H112" s="133">
        <f t="shared" ca="1" si="38"/>
        <v>0</v>
      </c>
      <c r="I112" s="133">
        <f t="shared" ca="1" si="36"/>
        <v>0</v>
      </c>
      <c r="K112" s="107" t="s">
        <v>2644</v>
      </c>
      <c r="L112" s="706">
        <v>0</v>
      </c>
      <c r="M112" s="706">
        <f>VLOOKUP(CONCATENATE($K112,M$1),$F:$G,2,FALSE)</f>
        <v>2</v>
      </c>
      <c r="N112" s="706">
        <f>VLOOKUP(CONCATENATE($K112,N$1),$F:$G,2,FALSE)</f>
        <v>4</v>
      </c>
      <c r="O112" s="708">
        <f t="shared" si="31"/>
        <v>6</v>
      </c>
      <c r="W112" s="983" t="str">
        <f ca="1">AB112&amp;"-"&amp;COUNTIF($AB$2:$AB112,$AB112)</f>
        <v>0-2-0-49</v>
      </c>
      <c r="X112" s="983" t="s">
        <v>107</v>
      </c>
      <c r="Y112" s="985">
        <f t="shared" ca="1" si="43"/>
        <v>0</v>
      </c>
      <c r="Z112" s="988">
        <v>2</v>
      </c>
      <c r="AA112" s="985">
        <f t="shared" ca="1" si="29"/>
        <v>0</v>
      </c>
      <c r="AB112" s="987" t="str">
        <f t="shared" ca="1" si="32"/>
        <v>0-2-0</v>
      </c>
    </row>
    <row r="113" spans="1:28" ht="15" customHeight="1" x14ac:dyDescent="0.2">
      <c r="A113" s="406" t="s">
        <v>48</v>
      </c>
      <c r="B113" s="406" t="s">
        <v>54</v>
      </c>
      <c r="C113" s="406" t="s">
        <v>109</v>
      </c>
      <c r="D113" s="973" t="s">
        <v>24</v>
      </c>
      <c r="E113" s="406">
        <v>2</v>
      </c>
      <c r="F113" s="100" t="str">
        <f t="shared" si="35"/>
        <v>ASSET-32</v>
      </c>
      <c r="G113" s="100">
        <f t="shared" si="27"/>
        <v>3</v>
      </c>
      <c r="H113" s="133">
        <f t="shared" ca="1" si="38"/>
        <v>0</v>
      </c>
      <c r="I113" s="133">
        <f t="shared" ca="1" si="36"/>
        <v>0</v>
      </c>
      <c r="K113" s="101" t="s">
        <v>64</v>
      </c>
      <c r="L113" s="707">
        <f>SUM(L114:L116)</f>
        <v>8</v>
      </c>
      <c r="M113" s="707">
        <f>SUM(M114:M116)</f>
        <v>11</v>
      </c>
      <c r="N113" s="707">
        <f>SUM(N114:N116)</f>
        <v>11</v>
      </c>
      <c r="O113" s="709">
        <f t="shared" si="31"/>
        <v>30</v>
      </c>
      <c r="W113" s="983" t="str">
        <f ca="1">AB113&amp;"-"&amp;COUNTIF($AB$2:$AB113,$AB113)</f>
        <v>0-2-0-50</v>
      </c>
      <c r="X113" s="983" t="s">
        <v>109</v>
      </c>
      <c r="Y113" s="985">
        <f t="shared" ca="1" si="43"/>
        <v>0</v>
      </c>
      <c r="Z113" s="988">
        <v>2</v>
      </c>
      <c r="AA113" s="985">
        <f t="shared" ca="1" si="29"/>
        <v>0</v>
      </c>
      <c r="AB113" s="987" t="str">
        <f t="shared" ca="1" si="32"/>
        <v>0-2-0</v>
      </c>
    </row>
    <row r="114" spans="1:28" ht="15" customHeight="1" x14ac:dyDescent="0.2">
      <c r="A114" s="406" t="s">
        <v>48</v>
      </c>
      <c r="B114" s="406" t="s">
        <v>54</v>
      </c>
      <c r="C114" s="406" t="s">
        <v>111</v>
      </c>
      <c r="D114" s="973" t="s">
        <v>25</v>
      </c>
      <c r="E114" s="406">
        <v>2</v>
      </c>
      <c r="F114" s="100" t="str">
        <f t="shared" si="35"/>
        <v>ASSET-32</v>
      </c>
      <c r="G114" s="100">
        <f t="shared" si="27"/>
        <v>3</v>
      </c>
      <c r="H114" s="133">
        <f t="shared" ca="1" si="38"/>
        <v>0</v>
      </c>
      <c r="I114" s="133">
        <f t="shared" ca="1" si="36"/>
        <v>0</v>
      </c>
      <c r="K114" s="107" t="s">
        <v>71</v>
      </c>
      <c r="L114" s="706">
        <f t="shared" ref="L114:N115" si="47">VLOOKUP(CONCATENATE($K114,L$1),$F:$G,2,FALSE)</f>
        <v>4</v>
      </c>
      <c r="M114" s="706">
        <f t="shared" si="47"/>
        <v>5</v>
      </c>
      <c r="N114" s="706">
        <f t="shared" si="47"/>
        <v>4</v>
      </c>
      <c r="O114" s="708">
        <f t="shared" si="31"/>
        <v>13</v>
      </c>
      <c r="W114" s="983" t="str">
        <f ca="1">AB114&amp;"-"&amp;COUNTIF($AB$2:$AB114,$AB114)</f>
        <v>0-2-0-51</v>
      </c>
      <c r="X114" s="983" t="s">
        <v>111</v>
      </c>
      <c r="Y114" s="985">
        <f t="shared" ca="1" si="43"/>
        <v>0</v>
      </c>
      <c r="Z114" s="988">
        <v>2</v>
      </c>
      <c r="AA114" s="985">
        <f t="shared" ca="1" si="29"/>
        <v>0</v>
      </c>
      <c r="AB114" s="987" t="str">
        <f t="shared" ca="1" si="32"/>
        <v>0-2-0</v>
      </c>
    </row>
    <row r="115" spans="1:28" ht="15" customHeight="1" x14ac:dyDescent="0.2">
      <c r="A115" s="406" t="s">
        <v>48</v>
      </c>
      <c r="B115" s="406" t="s">
        <v>54</v>
      </c>
      <c r="C115" s="406" t="s">
        <v>113</v>
      </c>
      <c r="D115" s="973" t="s">
        <v>26</v>
      </c>
      <c r="E115" s="406">
        <v>3</v>
      </c>
      <c r="F115" s="100" t="str">
        <f t="shared" si="35"/>
        <v>ASSET-33</v>
      </c>
      <c r="G115" s="100">
        <f t="shared" si="27"/>
        <v>1</v>
      </c>
      <c r="H115" s="133">
        <f t="shared" ca="1" si="38"/>
        <v>0</v>
      </c>
      <c r="I115" s="133">
        <f t="shared" ca="1" si="36"/>
        <v>0</v>
      </c>
      <c r="K115" s="107" t="s">
        <v>73</v>
      </c>
      <c r="L115" s="706">
        <f t="shared" si="47"/>
        <v>4</v>
      </c>
      <c r="M115" s="706">
        <f t="shared" si="47"/>
        <v>4</v>
      </c>
      <c r="N115" s="706">
        <f t="shared" si="47"/>
        <v>3</v>
      </c>
      <c r="O115" s="708">
        <f t="shared" si="31"/>
        <v>11</v>
      </c>
      <c r="W115" s="983" t="str">
        <f ca="1">AB115&amp;"-"&amp;COUNTIF($AB$2:$AB115,$AB115)</f>
        <v>0-3-0-26</v>
      </c>
      <c r="X115" s="983" t="s">
        <v>113</v>
      </c>
      <c r="Y115" s="985">
        <f t="shared" ca="1" si="43"/>
        <v>0</v>
      </c>
      <c r="Z115" s="988">
        <v>3</v>
      </c>
      <c r="AA115" s="985">
        <f t="shared" ca="1" si="29"/>
        <v>0</v>
      </c>
      <c r="AB115" s="987" t="str">
        <f t="shared" ca="1" si="32"/>
        <v>0-3-0</v>
      </c>
    </row>
    <row r="116" spans="1:28" ht="15" customHeight="1" x14ac:dyDescent="0.2">
      <c r="A116" s="406" t="s">
        <v>48</v>
      </c>
      <c r="B116" s="406" t="s">
        <v>55</v>
      </c>
      <c r="C116" s="406" t="s">
        <v>116</v>
      </c>
      <c r="D116" s="973" t="s">
        <v>117</v>
      </c>
      <c r="E116" s="406">
        <v>1</v>
      </c>
      <c r="F116" s="100" t="str">
        <f t="shared" si="35"/>
        <v>ASSET-41</v>
      </c>
      <c r="G116" s="100">
        <f t="shared" si="27"/>
        <v>2</v>
      </c>
      <c r="H116" s="133">
        <f t="shared" ca="1" si="38"/>
        <v>0</v>
      </c>
      <c r="I116" s="133">
        <f t="shared" ca="1" si="36"/>
        <v>0</v>
      </c>
      <c r="K116" s="107" t="s">
        <v>76</v>
      </c>
      <c r="L116" s="706">
        <v>0</v>
      </c>
      <c r="M116" s="706">
        <f>VLOOKUP(CONCATENATE($K116,M$1),$F:$G,2,FALSE)</f>
        <v>2</v>
      </c>
      <c r="N116" s="706">
        <f>VLOOKUP(CONCATENATE($K116,N$1),$F:$G,2,FALSE)</f>
        <v>4</v>
      </c>
      <c r="O116" s="708">
        <f t="shared" si="31"/>
        <v>6</v>
      </c>
      <c r="W116" s="983" t="str">
        <f ca="1">AB116&amp;"-"&amp;COUNTIF($AB$2:$AB116,$AB116)</f>
        <v>0-1-0-18</v>
      </c>
      <c r="X116" s="983" t="s">
        <v>116</v>
      </c>
      <c r="Y116" s="985">
        <f t="shared" ca="1" si="43"/>
        <v>0</v>
      </c>
      <c r="Z116" s="988">
        <v>1</v>
      </c>
      <c r="AA116" s="985">
        <f t="shared" ca="1" si="29"/>
        <v>0</v>
      </c>
      <c r="AB116" s="987" t="str">
        <f t="shared" ca="1" si="32"/>
        <v>0-1-0</v>
      </c>
    </row>
    <row r="117" spans="1:28" ht="15" customHeight="1" x14ac:dyDescent="0.2">
      <c r="A117" s="406" t="s">
        <v>48</v>
      </c>
      <c r="B117" s="406" t="s">
        <v>55</v>
      </c>
      <c r="C117" s="406" t="s">
        <v>119</v>
      </c>
      <c r="D117" s="973" t="s">
        <v>120</v>
      </c>
      <c r="E117" s="406">
        <v>1</v>
      </c>
      <c r="F117" s="100" t="str">
        <f t="shared" si="35"/>
        <v>ASSET-41</v>
      </c>
      <c r="G117" s="100">
        <f t="shared" si="27"/>
        <v>2</v>
      </c>
      <c r="H117" s="133">
        <f t="shared" ca="1" si="38"/>
        <v>0</v>
      </c>
      <c r="I117" s="133">
        <f t="shared" ca="1" si="36"/>
        <v>0</v>
      </c>
      <c r="K117" s="101" t="s">
        <v>74</v>
      </c>
      <c r="L117" s="707">
        <f>SUM(L118:L122)</f>
        <v>7</v>
      </c>
      <c r="M117" s="707">
        <f>SUM(M118:M122)</f>
        <v>12</v>
      </c>
      <c r="N117" s="707">
        <f>SUM(N118:N122)</f>
        <v>13</v>
      </c>
      <c r="O117" s="709">
        <f t="shared" si="31"/>
        <v>32</v>
      </c>
      <c r="W117" s="983" t="str">
        <f ca="1">AB117&amp;"-"&amp;COUNTIF($AB$2:$AB117,$AB117)</f>
        <v>0-1-0-19</v>
      </c>
      <c r="X117" s="983" t="s">
        <v>119</v>
      </c>
      <c r="Y117" s="985">
        <f t="shared" ca="1" si="43"/>
        <v>0</v>
      </c>
      <c r="Z117" s="988">
        <v>1</v>
      </c>
      <c r="AA117" s="985">
        <f t="shared" ca="1" si="29"/>
        <v>0</v>
      </c>
      <c r="AB117" s="987" t="str">
        <f t="shared" ca="1" si="32"/>
        <v>0-1-0</v>
      </c>
    </row>
    <row r="118" spans="1:28" ht="15" customHeight="1" x14ac:dyDescent="0.2">
      <c r="A118" s="406" t="s">
        <v>48</v>
      </c>
      <c r="B118" s="406" t="s">
        <v>55</v>
      </c>
      <c r="C118" s="406" t="s">
        <v>122</v>
      </c>
      <c r="D118" s="973" t="s">
        <v>123</v>
      </c>
      <c r="E118" s="406">
        <v>2</v>
      </c>
      <c r="F118" s="100" t="str">
        <f t="shared" si="35"/>
        <v>ASSET-42</v>
      </c>
      <c r="G118" s="100">
        <f t="shared" si="27"/>
        <v>5</v>
      </c>
      <c r="H118" s="133">
        <f t="shared" ca="1" si="38"/>
        <v>0</v>
      </c>
      <c r="I118" s="133">
        <f t="shared" ca="1" si="36"/>
        <v>0</v>
      </c>
      <c r="K118" s="107" t="s">
        <v>104</v>
      </c>
      <c r="L118" s="706">
        <f t="shared" ref="L118:N121" si="48">VLOOKUP(CONCATENATE($K118,L$1),$F:$G,2,FALSE)</f>
        <v>2</v>
      </c>
      <c r="M118" s="706">
        <f t="shared" si="48"/>
        <v>3</v>
      </c>
      <c r="N118" s="706">
        <f t="shared" si="48"/>
        <v>2</v>
      </c>
      <c r="O118" s="708">
        <f t="shared" si="31"/>
        <v>7</v>
      </c>
      <c r="W118" s="983" t="str">
        <f ca="1">AB118&amp;"-"&amp;COUNTIF($AB$2:$AB118,$AB118)</f>
        <v>0-2-0-52</v>
      </c>
      <c r="X118" s="983" t="s">
        <v>122</v>
      </c>
      <c r="Y118" s="985">
        <f t="shared" ca="1" si="43"/>
        <v>0</v>
      </c>
      <c r="Z118" s="988">
        <v>2</v>
      </c>
      <c r="AA118" s="985">
        <f t="shared" ca="1" si="29"/>
        <v>0</v>
      </c>
      <c r="AB118" s="987" t="str">
        <f t="shared" ca="1" si="32"/>
        <v>0-2-0</v>
      </c>
    </row>
    <row r="119" spans="1:28" ht="15" customHeight="1" x14ac:dyDescent="0.2">
      <c r="A119" s="406" t="s">
        <v>48</v>
      </c>
      <c r="B119" s="406" t="s">
        <v>55</v>
      </c>
      <c r="C119" s="406" t="s">
        <v>125</v>
      </c>
      <c r="D119" s="973" t="s">
        <v>126</v>
      </c>
      <c r="E119" s="406">
        <v>2</v>
      </c>
      <c r="F119" s="100" t="str">
        <f t="shared" si="35"/>
        <v>ASSET-42</v>
      </c>
      <c r="G119" s="100">
        <f t="shared" si="27"/>
        <v>5</v>
      </c>
      <c r="H119" s="133">
        <f t="shared" ca="1" si="38"/>
        <v>0</v>
      </c>
      <c r="I119" s="133">
        <f t="shared" ca="1" si="36"/>
        <v>0</v>
      </c>
      <c r="K119" s="107" t="s">
        <v>106</v>
      </c>
      <c r="L119" s="706">
        <f t="shared" si="48"/>
        <v>1</v>
      </c>
      <c r="M119" s="706">
        <f t="shared" si="48"/>
        <v>3</v>
      </c>
      <c r="N119" s="706">
        <f t="shared" si="48"/>
        <v>3</v>
      </c>
      <c r="O119" s="708">
        <f t="shared" si="31"/>
        <v>7</v>
      </c>
      <c r="W119" s="983" t="str">
        <f ca="1">AB119&amp;"-"&amp;COUNTIF($AB$2:$AB119,$AB119)</f>
        <v>0-2-0-53</v>
      </c>
      <c r="X119" s="983" t="s">
        <v>125</v>
      </c>
      <c r="Y119" s="985">
        <f t="shared" ca="1" si="43"/>
        <v>0</v>
      </c>
      <c r="Z119" s="988">
        <v>2</v>
      </c>
      <c r="AA119" s="985">
        <f t="shared" ca="1" si="29"/>
        <v>0</v>
      </c>
      <c r="AB119" s="987" t="str">
        <f t="shared" ca="1" si="32"/>
        <v>0-2-0</v>
      </c>
    </row>
    <row r="120" spans="1:28" ht="15" customHeight="1" x14ac:dyDescent="0.2">
      <c r="A120" s="406" t="s">
        <v>48</v>
      </c>
      <c r="B120" s="406" t="s">
        <v>55</v>
      </c>
      <c r="C120" s="406" t="s">
        <v>128</v>
      </c>
      <c r="D120" s="973" t="s">
        <v>129</v>
      </c>
      <c r="E120" s="406">
        <v>2</v>
      </c>
      <c r="F120" s="100" t="str">
        <f t="shared" si="35"/>
        <v>ASSET-42</v>
      </c>
      <c r="G120" s="100">
        <f t="shared" si="27"/>
        <v>5</v>
      </c>
      <c r="H120" s="133">
        <f t="shared" ca="1" si="38"/>
        <v>0</v>
      </c>
      <c r="I120" s="133">
        <f t="shared" ca="1" si="36"/>
        <v>0</v>
      </c>
      <c r="K120" s="107" t="s">
        <v>108</v>
      </c>
      <c r="L120" s="706">
        <f t="shared" si="48"/>
        <v>2</v>
      </c>
      <c r="M120" s="706">
        <f t="shared" si="48"/>
        <v>2</v>
      </c>
      <c r="N120" s="706">
        <f t="shared" si="48"/>
        <v>2</v>
      </c>
      <c r="O120" s="708">
        <f t="shared" si="31"/>
        <v>6</v>
      </c>
      <c r="W120" s="983" t="str">
        <f ca="1">AB120&amp;"-"&amp;COUNTIF($AB$2:$AB120,$AB120)</f>
        <v>0-2-0-54</v>
      </c>
      <c r="X120" s="983" t="s">
        <v>128</v>
      </c>
      <c r="Y120" s="985">
        <f t="shared" ca="1" si="43"/>
        <v>0</v>
      </c>
      <c r="Z120" s="988">
        <v>2</v>
      </c>
      <c r="AA120" s="985">
        <f t="shared" ca="1" si="29"/>
        <v>0</v>
      </c>
      <c r="AB120" s="987" t="str">
        <f t="shared" ca="1" si="32"/>
        <v>0-2-0</v>
      </c>
    </row>
    <row r="121" spans="1:28" ht="15" customHeight="1" x14ac:dyDescent="0.2">
      <c r="A121" s="406" t="s">
        <v>48</v>
      </c>
      <c r="B121" s="406" t="s">
        <v>55</v>
      </c>
      <c r="C121" s="406" t="s">
        <v>130</v>
      </c>
      <c r="D121" s="973" t="s">
        <v>131</v>
      </c>
      <c r="E121" s="406">
        <v>2</v>
      </c>
      <c r="F121" s="100" t="str">
        <f>CONCATENATE($B121,$E121)</f>
        <v>ASSET-42</v>
      </c>
      <c r="G121" s="100">
        <f t="shared" si="27"/>
        <v>5</v>
      </c>
      <c r="H121" s="133">
        <f t="shared" ca="1" si="38"/>
        <v>0</v>
      </c>
      <c r="I121" s="133">
        <f t="shared" ca="1" si="36"/>
        <v>0</v>
      </c>
      <c r="K121" s="107" t="s">
        <v>110</v>
      </c>
      <c r="L121" s="706">
        <f>VLOOKUP(CONCATENATE($K121,L$1),$F:$G,2,FALSE)</f>
        <v>2</v>
      </c>
      <c r="M121" s="706">
        <f t="shared" si="48"/>
        <v>2</v>
      </c>
      <c r="N121" s="706">
        <f t="shared" si="48"/>
        <v>2</v>
      </c>
      <c r="O121" s="708">
        <f t="shared" si="31"/>
        <v>6</v>
      </c>
      <c r="W121" s="983" t="str">
        <f ca="1">AB121&amp;"-"&amp;COUNTIF($AB$2:$AB121,$AB121)</f>
        <v>0-2-0-55</v>
      </c>
      <c r="X121" s="983" t="s">
        <v>130</v>
      </c>
      <c r="Y121" s="985">
        <f t="shared" ca="1" si="43"/>
        <v>0</v>
      </c>
      <c r="Z121" s="988">
        <v>2</v>
      </c>
      <c r="AA121" s="985">
        <f t="shared" ca="1" si="29"/>
        <v>0</v>
      </c>
      <c r="AB121" s="987" t="str">
        <f t="shared" ca="1" si="32"/>
        <v>0-2-0</v>
      </c>
    </row>
    <row r="122" spans="1:28" ht="15" customHeight="1" x14ac:dyDescent="0.2">
      <c r="A122" s="406" t="s">
        <v>48</v>
      </c>
      <c r="B122" s="406" t="s">
        <v>55</v>
      </c>
      <c r="C122" s="406" t="s">
        <v>2614</v>
      </c>
      <c r="D122" s="973" t="s">
        <v>239</v>
      </c>
      <c r="E122" s="406">
        <v>2</v>
      </c>
      <c r="F122" s="100" t="str">
        <f t="shared" ref="F122:F124" si="49">CONCATENATE($B122,$E122)</f>
        <v>ASSET-42</v>
      </c>
      <c r="G122" s="100">
        <f t="shared" si="27"/>
        <v>5</v>
      </c>
      <c r="H122" s="133">
        <f t="shared" ca="1" si="38"/>
        <v>0</v>
      </c>
      <c r="I122" s="133">
        <f t="shared" ref="I122:I124" ca="1" si="50">IFERROR(IF(H122&gt;2,1,0),0)</f>
        <v>0</v>
      </c>
      <c r="K122" s="107" t="s">
        <v>112</v>
      </c>
      <c r="L122" s="706">
        <v>0</v>
      </c>
      <c r="M122" s="706">
        <f>VLOOKUP(CONCATENATE($K122,M$1),$F:$G,2,FALSE)</f>
        <v>2</v>
      </c>
      <c r="N122" s="706">
        <f>VLOOKUP(CONCATENATE($K122,N$1),$F:$G,2,FALSE)</f>
        <v>4</v>
      </c>
      <c r="O122" s="708">
        <f t="shared" si="31"/>
        <v>6</v>
      </c>
      <c r="W122" s="983" t="str">
        <f ca="1">AB122&amp;"-"&amp;COUNTIF($AB$2:$AB122,$AB122)</f>
        <v>0-2-0-56</v>
      </c>
      <c r="X122" s="983" t="s">
        <v>2614</v>
      </c>
      <c r="Y122" s="985">
        <f t="shared" ca="1" si="43"/>
        <v>0</v>
      </c>
      <c r="Z122" s="988">
        <v>2</v>
      </c>
      <c r="AA122" s="985">
        <f t="shared" ca="1" si="29"/>
        <v>0</v>
      </c>
      <c r="AB122" s="987" t="str">
        <f t="shared" ca="1" si="32"/>
        <v>0-2-0</v>
      </c>
    </row>
    <row r="123" spans="1:28" ht="15" customHeight="1" x14ac:dyDescent="0.2">
      <c r="A123" s="406" t="s">
        <v>48</v>
      </c>
      <c r="B123" s="406" t="s">
        <v>55</v>
      </c>
      <c r="C123" s="406" t="s">
        <v>2615</v>
      </c>
      <c r="D123" s="973" t="s">
        <v>327</v>
      </c>
      <c r="E123" s="406">
        <v>3</v>
      </c>
      <c r="F123" s="100" t="str">
        <f t="shared" si="49"/>
        <v>ASSET-43</v>
      </c>
      <c r="G123" s="100">
        <f t="shared" si="27"/>
        <v>2</v>
      </c>
      <c r="H123" s="133">
        <f t="shared" ca="1" si="38"/>
        <v>0</v>
      </c>
      <c r="I123" s="133">
        <f t="shared" ca="1" si="50"/>
        <v>0</v>
      </c>
      <c r="K123" s="713" t="s">
        <v>3295</v>
      </c>
      <c r="L123" s="1062">
        <f>L66+L71+L78+L84+L88+L92+L98+L104+L109+L113+L117</f>
        <v>66</v>
      </c>
      <c r="M123" s="1062">
        <f t="shared" ref="M123:N123" si="51">M66+M71+M78+M84+M88+M92+M98+M104+M109+M113+M117</f>
        <v>178</v>
      </c>
      <c r="N123" s="1062">
        <f t="shared" si="51"/>
        <v>139</v>
      </c>
      <c r="W123" s="983" t="str">
        <f ca="1">AB123&amp;"-"&amp;COUNTIF($AB$2:$AB123,$AB123)</f>
        <v>0-3-0-27</v>
      </c>
      <c r="X123" s="983" t="s">
        <v>2615</v>
      </c>
      <c r="Y123" s="985">
        <f t="shared" ca="1" si="43"/>
        <v>0</v>
      </c>
      <c r="Z123" s="988">
        <v>3</v>
      </c>
      <c r="AA123" s="985">
        <f t="shared" ca="1" si="29"/>
        <v>0</v>
      </c>
      <c r="AB123" s="987" t="str">
        <f t="shared" ca="1" si="32"/>
        <v>0-3-0</v>
      </c>
    </row>
    <row r="124" spans="1:28" ht="15" customHeight="1" x14ac:dyDescent="0.2">
      <c r="A124" s="406" t="s">
        <v>48</v>
      </c>
      <c r="B124" s="406" t="s">
        <v>55</v>
      </c>
      <c r="C124" s="406" t="s">
        <v>2616</v>
      </c>
      <c r="D124" s="973" t="s">
        <v>328</v>
      </c>
      <c r="E124" s="406">
        <v>3</v>
      </c>
      <c r="F124" s="100" t="str">
        <f t="shared" si="49"/>
        <v>ASSET-43</v>
      </c>
      <c r="G124" s="100">
        <f t="shared" si="27"/>
        <v>2</v>
      </c>
      <c r="H124" s="133">
        <f t="shared" ca="1" si="38"/>
        <v>0</v>
      </c>
      <c r="I124" s="133">
        <f t="shared" ca="1" si="50"/>
        <v>0</v>
      </c>
      <c r="W124" s="983" t="str">
        <f ca="1">AB124&amp;"-"&amp;COUNTIF($AB$2:$AB124,$AB124)</f>
        <v>0-3-0-28</v>
      </c>
      <c r="X124" s="983" t="s">
        <v>2616</v>
      </c>
      <c r="Y124" s="985">
        <f t="shared" ca="1" si="43"/>
        <v>0</v>
      </c>
      <c r="Z124" s="988">
        <v>3</v>
      </c>
      <c r="AA124" s="985">
        <f t="shared" ca="1" si="29"/>
        <v>0</v>
      </c>
      <c r="AB124" s="987" t="str">
        <f t="shared" ca="1" si="32"/>
        <v>0-3-0</v>
      </c>
    </row>
    <row r="125" spans="1:28" ht="15" customHeight="1" x14ac:dyDescent="0.2">
      <c r="A125" s="406" t="s">
        <v>48</v>
      </c>
      <c r="B125" s="406" t="s">
        <v>57</v>
      </c>
      <c r="C125" s="406" t="s">
        <v>133</v>
      </c>
      <c r="D125" s="973" t="s">
        <v>134</v>
      </c>
      <c r="E125" s="406">
        <v>2</v>
      </c>
      <c r="F125" s="100" t="str">
        <f t="shared" si="35"/>
        <v>ASSET-52</v>
      </c>
      <c r="G125" s="100">
        <f t="shared" si="27"/>
        <v>2</v>
      </c>
      <c r="H125" s="133">
        <f t="shared" ca="1" si="38"/>
        <v>0</v>
      </c>
      <c r="I125" s="133">
        <f t="shared" ca="1" si="36"/>
        <v>0</v>
      </c>
      <c r="W125" s="983" t="str">
        <f ca="1">AB125&amp;"-"&amp;COUNTIF($AB$2:$AB125,$AB125)</f>
        <v>1-2-0-8</v>
      </c>
      <c r="X125" s="983" t="s">
        <v>133</v>
      </c>
      <c r="Y125" s="985">
        <f t="shared" ca="1" si="43"/>
        <v>1</v>
      </c>
      <c r="Z125" s="988">
        <v>2</v>
      </c>
      <c r="AA125" s="985">
        <f t="shared" ca="1" si="29"/>
        <v>0</v>
      </c>
      <c r="AB125" s="987" t="str">
        <f t="shared" ca="1" si="32"/>
        <v>1-2-0</v>
      </c>
    </row>
    <row r="126" spans="1:28" ht="15" customHeight="1" x14ac:dyDescent="0.2">
      <c r="A126" s="406" t="s">
        <v>48</v>
      </c>
      <c r="B126" s="406" t="s">
        <v>57</v>
      </c>
      <c r="C126" s="406" t="s">
        <v>136</v>
      </c>
      <c r="D126" s="973" t="s">
        <v>137</v>
      </c>
      <c r="E126" s="406">
        <v>2</v>
      </c>
      <c r="F126" s="100" t="str">
        <f t="shared" si="35"/>
        <v>ASSET-52</v>
      </c>
      <c r="G126" s="100">
        <f t="shared" si="27"/>
        <v>2</v>
      </c>
      <c r="H126" s="133">
        <f t="shared" ca="1" si="38"/>
        <v>0</v>
      </c>
      <c r="I126" s="133">
        <f t="shared" ca="1" si="36"/>
        <v>0</v>
      </c>
      <c r="W126" s="983" t="str">
        <f ca="1">AB126&amp;"-"&amp;COUNTIF($AB$2:$AB126,$AB126)</f>
        <v>1-2-0-9</v>
      </c>
      <c r="X126" s="983" t="s">
        <v>136</v>
      </c>
      <c r="Y126" s="985">
        <f t="shared" ca="1" si="43"/>
        <v>1</v>
      </c>
      <c r="Z126" s="988">
        <v>2</v>
      </c>
      <c r="AA126" s="985">
        <f t="shared" ca="1" si="29"/>
        <v>0</v>
      </c>
      <c r="AB126" s="987" t="str">
        <f t="shared" ca="1" si="32"/>
        <v>1-2-0</v>
      </c>
    </row>
    <row r="127" spans="1:28" ht="15" customHeight="1" x14ac:dyDescent="0.2">
      <c r="A127" s="406" t="s">
        <v>48</v>
      </c>
      <c r="B127" s="406" t="s">
        <v>57</v>
      </c>
      <c r="C127" s="406" t="s">
        <v>139</v>
      </c>
      <c r="D127" s="973" t="s">
        <v>140</v>
      </c>
      <c r="E127" s="406">
        <v>3</v>
      </c>
      <c r="F127" s="100" t="str">
        <f t="shared" si="35"/>
        <v>ASSET-53</v>
      </c>
      <c r="G127" s="100">
        <f t="shared" si="27"/>
        <v>4</v>
      </c>
      <c r="H127" s="133">
        <f t="shared" ca="1" si="38"/>
        <v>0</v>
      </c>
      <c r="I127" s="133">
        <f t="shared" ca="1" si="36"/>
        <v>0</v>
      </c>
      <c r="W127" s="983" t="str">
        <f ca="1">AB127&amp;"-"&amp;COUNTIF($AB$2:$AB127,$AB127)</f>
        <v>1-3-0-14</v>
      </c>
      <c r="X127" s="983" t="s">
        <v>139</v>
      </c>
      <c r="Y127" s="985">
        <f t="shared" ca="1" si="43"/>
        <v>1</v>
      </c>
      <c r="Z127" s="988">
        <v>3</v>
      </c>
      <c r="AA127" s="985">
        <f t="shared" ca="1" si="29"/>
        <v>0</v>
      </c>
      <c r="AB127" s="987" t="str">
        <f t="shared" ca="1" si="32"/>
        <v>1-3-0</v>
      </c>
    </row>
    <row r="128" spans="1:28" ht="15" customHeight="1" x14ac:dyDescent="0.2">
      <c r="A128" s="406" t="s">
        <v>48</v>
      </c>
      <c r="B128" s="406" t="s">
        <v>57</v>
      </c>
      <c r="C128" s="406" t="s">
        <v>141</v>
      </c>
      <c r="D128" s="973" t="s">
        <v>142</v>
      </c>
      <c r="E128" s="406">
        <v>3</v>
      </c>
      <c r="F128" s="100" t="str">
        <f t="shared" si="35"/>
        <v>ASSET-53</v>
      </c>
      <c r="G128" s="100">
        <f t="shared" si="27"/>
        <v>4</v>
      </c>
      <c r="H128" s="133">
        <f t="shared" ca="1" si="38"/>
        <v>0</v>
      </c>
      <c r="I128" s="133">
        <f t="shared" ca="1" si="36"/>
        <v>0</v>
      </c>
      <c r="W128" s="983" t="str">
        <f ca="1">AB128&amp;"-"&amp;COUNTIF($AB$2:$AB128,$AB128)</f>
        <v>1-3-0-15</v>
      </c>
      <c r="X128" s="983" t="s">
        <v>141</v>
      </c>
      <c r="Y128" s="985">
        <f t="shared" ca="1" si="43"/>
        <v>1</v>
      </c>
      <c r="Z128" s="988">
        <v>3</v>
      </c>
      <c r="AA128" s="985">
        <f t="shared" ca="1" si="29"/>
        <v>0</v>
      </c>
      <c r="AB128" s="987" t="str">
        <f t="shared" ca="1" si="32"/>
        <v>1-3-0</v>
      </c>
    </row>
    <row r="129" spans="1:28" ht="15" customHeight="1" x14ac:dyDescent="0.2">
      <c r="A129" s="406" t="s">
        <v>48</v>
      </c>
      <c r="B129" s="406" t="s">
        <v>57</v>
      </c>
      <c r="C129" s="406" t="s">
        <v>143</v>
      </c>
      <c r="D129" s="973" t="s">
        <v>144</v>
      </c>
      <c r="E129" s="406">
        <v>3</v>
      </c>
      <c r="F129" s="100" t="str">
        <f t="shared" si="35"/>
        <v>ASSET-53</v>
      </c>
      <c r="G129" s="100">
        <f t="shared" si="27"/>
        <v>4</v>
      </c>
      <c r="H129" s="133">
        <f t="shared" ca="1" si="38"/>
        <v>0</v>
      </c>
      <c r="I129" s="133">
        <f t="shared" ca="1" si="36"/>
        <v>0</v>
      </c>
      <c r="W129" s="983" t="str">
        <f ca="1">AB129&amp;"-"&amp;COUNTIF($AB$2:$AB129,$AB129)</f>
        <v>1-3-0-16</v>
      </c>
      <c r="X129" s="983" t="s">
        <v>143</v>
      </c>
      <c r="Y129" s="985">
        <f t="shared" ca="1" si="43"/>
        <v>1</v>
      </c>
      <c r="Z129" s="988">
        <v>3</v>
      </c>
      <c r="AA129" s="985">
        <f t="shared" ca="1" si="29"/>
        <v>0</v>
      </c>
      <c r="AB129" s="987" t="str">
        <f t="shared" ca="1" si="32"/>
        <v>1-3-0</v>
      </c>
    </row>
    <row r="130" spans="1:28" ht="15" customHeight="1" x14ac:dyDescent="0.2">
      <c r="A130" s="406" t="s">
        <v>48</v>
      </c>
      <c r="B130" s="406" t="s">
        <v>57</v>
      </c>
      <c r="C130" s="406" t="s">
        <v>145</v>
      </c>
      <c r="D130" s="973" t="s">
        <v>146</v>
      </c>
      <c r="E130" s="406">
        <v>3</v>
      </c>
      <c r="F130" s="100" t="str">
        <f t="shared" si="35"/>
        <v>ASSET-53</v>
      </c>
      <c r="G130" s="100">
        <f t="shared" ref="G130:G193" si="52">COUNTIF($F:$F,$F130)</f>
        <v>4</v>
      </c>
      <c r="H130" s="133">
        <f t="shared" ca="1" si="38"/>
        <v>0</v>
      </c>
      <c r="I130" s="133">
        <f t="shared" ca="1" si="36"/>
        <v>0</v>
      </c>
      <c r="W130" s="983" t="str">
        <f ca="1">AB130&amp;"-"&amp;COUNTIF($AB$2:$AB130,$AB130)</f>
        <v>1-3-0-17</v>
      </c>
      <c r="X130" s="983" t="s">
        <v>145</v>
      </c>
      <c r="Y130" s="985">
        <f t="shared" ref="Y130:Y161" ca="1" si="53">VLOOKUP(LEFT($X130,LEN($X130)-1),$K:$O,5,FALSE)</f>
        <v>1</v>
      </c>
      <c r="Z130" s="988">
        <v>3</v>
      </c>
      <c r="AA130" s="985">
        <f t="shared" ref="AA130:AA193" ca="1" si="54">VLOOKUP(X130,C:I,7,FALSE)</f>
        <v>0</v>
      </c>
      <c r="AB130" s="987" t="str">
        <f t="shared" ca="1" si="32"/>
        <v>1-3-0</v>
      </c>
    </row>
    <row r="131" spans="1:28" ht="15" customHeight="1" x14ac:dyDescent="0.2">
      <c r="A131" s="130" t="s">
        <v>56</v>
      </c>
      <c r="B131" s="130" t="s">
        <v>147</v>
      </c>
      <c r="C131" s="130" t="s">
        <v>362</v>
      </c>
      <c r="D131" s="974" t="s">
        <v>5</v>
      </c>
      <c r="E131" s="130">
        <v>1</v>
      </c>
      <c r="F131" s="100" t="str">
        <f t="shared" si="35"/>
        <v>CRITICAL-11</v>
      </c>
      <c r="G131" s="100">
        <f t="shared" si="52"/>
        <v>4</v>
      </c>
      <c r="H131" s="133">
        <f t="shared" ca="1" si="38"/>
        <v>0</v>
      </c>
      <c r="I131" s="133">
        <f t="shared" ca="1" si="36"/>
        <v>0</v>
      </c>
      <c r="W131" s="983" t="str">
        <f ca="1">AB131&amp;"-"&amp;COUNTIF($AB$2:$AB131,$AB131)</f>
        <v>0-1-0-20</v>
      </c>
      <c r="X131" s="983" t="s">
        <v>362</v>
      </c>
      <c r="Y131" s="985">
        <f t="shared" ca="1" si="53"/>
        <v>0</v>
      </c>
      <c r="Z131" s="988">
        <v>1</v>
      </c>
      <c r="AA131" s="985">
        <f t="shared" ca="1" si="54"/>
        <v>0</v>
      </c>
      <c r="AB131" s="987" t="str">
        <f t="shared" ref="AB131:AB195" ca="1" si="55">Y131&amp;"-"&amp;Z131&amp;"-"&amp;AA131</f>
        <v>0-1-0</v>
      </c>
    </row>
    <row r="132" spans="1:28" ht="15" customHeight="1" x14ac:dyDescent="0.2">
      <c r="A132" s="130" t="s">
        <v>56</v>
      </c>
      <c r="B132" s="130" t="s">
        <v>147</v>
      </c>
      <c r="C132" s="130" t="s">
        <v>363</v>
      </c>
      <c r="D132" s="974" t="s">
        <v>7</v>
      </c>
      <c r="E132" s="130">
        <v>1</v>
      </c>
      <c r="F132" s="100" t="str">
        <f t="shared" si="35"/>
        <v>CRITICAL-11</v>
      </c>
      <c r="G132" s="100">
        <f t="shared" si="52"/>
        <v>4</v>
      </c>
      <c r="H132" s="133">
        <f t="shared" ca="1" si="38"/>
        <v>0</v>
      </c>
      <c r="I132" s="133">
        <f t="shared" ca="1" si="36"/>
        <v>0</v>
      </c>
      <c r="W132" s="983" t="str">
        <f ca="1">AB132&amp;"-"&amp;COUNTIF($AB$2:$AB132,$AB132)</f>
        <v>0-1-0-21</v>
      </c>
      <c r="X132" s="983" t="s">
        <v>363</v>
      </c>
      <c r="Y132" s="985">
        <f t="shared" ca="1" si="53"/>
        <v>0</v>
      </c>
      <c r="Z132" s="988">
        <v>1</v>
      </c>
      <c r="AA132" s="985">
        <f t="shared" ca="1" si="54"/>
        <v>0</v>
      </c>
      <c r="AB132" s="987" t="str">
        <f t="shared" ca="1" si="55"/>
        <v>0-1-0</v>
      </c>
    </row>
    <row r="133" spans="1:28" ht="15" customHeight="1" x14ac:dyDescent="0.2">
      <c r="A133" s="130" t="s">
        <v>56</v>
      </c>
      <c r="B133" s="130" t="s">
        <v>147</v>
      </c>
      <c r="C133" s="130" t="s">
        <v>364</v>
      </c>
      <c r="D133" s="974" t="s">
        <v>8</v>
      </c>
      <c r="E133" s="130">
        <v>1</v>
      </c>
      <c r="F133" s="100" t="str">
        <f t="shared" si="35"/>
        <v>CRITICAL-11</v>
      </c>
      <c r="G133" s="100">
        <f t="shared" si="52"/>
        <v>4</v>
      </c>
      <c r="H133" s="133">
        <f t="shared" ca="1" si="38"/>
        <v>0</v>
      </c>
      <c r="I133" s="133">
        <f t="shared" ca="1" si="36"/>
        <v>0</v>
      </c>
      <c r="W133" s="983" t="str">
        <f ca="1">AB133&amp;"-"&amp;COUNTIF($AB$2:$AB133,$AB133)</f>
        <v>0-1-0-22</v>
      </c>
      <c r="X133" s="983" t="s">
        <v>364</v>
      </c>
      <c r="Y133" s="985">
        <f t="shared" ca="1" si="53"/>
        <v>0</v>
      </c>
      <c r="Z133" s="988">
        <v>1</v>
      </c>
      <c r="AA133" s="985">
        <f t="shared" ca="1" si="54"/>
        <v>0</v>
      </c>
      <c r="AB133" s="987" t="str">
        <f t="shared" ca="1" si="55"/>
        <v>0-1-0</v>
      </c>
    </row>
    <row r="134" spans="1:28" ht="15" customHeight="1" x14ac:dyDescent="0.2">
      <c r="A134" s="130" t="s">
        <v>56</v>
      </c>
      <c r="B134" s="130" t="s">
        <v>147</v>
      </c>
      <c r="C134" s="130" t="s">
        <v>365</v>
      </c>
      <c r="D134" s="974" t="s">
        <v>9</v>
      </c>
      <c r="E134" s="130">
        <v>1</v>
      </c>
      <c r="F134" s="100" t="str">
        <f t="shared" si="35"/>
        <v>CRITICAL-11</v>
      </c>
      <c r="G134" s="100">
        <f t="shared" si="52"/>
        <v>4</v>
      </c>
      <c r="H134" s="133">
        <f t="shared" ca="1" si="38"/>
        <v>0</v>
      </c>
      <c r="I134" s="133">
        <f t="shared" ca="1" si="36"/>
        <v>0</v>
      </c>
      <c r="W134" s="983" t="str">
        <f ca="1">AB134&amp;"-"&amp;COUNTIF($AB$2:$AB134,$AB134)</f>
        <v>0-1-0-23</v>
      </c>
      <c r="X134" s="983" t="s">
        <v>365</v>
      </c>
      <c r="Y134" s="985">
        <f t="shared" ca="1" si="53"/>
        <v>0</v>
      </c>
      <c r="Z134" s="988">
        <v>1</v>
      </c>
      <c r="AA134" s="985">
        <f t="shared" ca="1" si="54"/>
        <v>0</v>
      </c>
      <c r="AB134" s="987" t="str">
        <f t="shared" ca="1" si="55"/>
        <v>0-1-0</v>
      </c>
    </row>
    <row r="135" spans="1:28" ht="15" customHeight="1" x14ac:dyDescent="0.2">
      <c r="A135" s="130" t="s">
        <v>56</v>
      </c>
      <c r="B135" s="130" t="s">
        <v>147</v>
      </c>
      <c r="C135" s="130" t="s">
        <v>366</v>
      </c>
      <c r="D135" s="974" t="s">
        <v>10</v>
      </c>
      <c r="E135" s="130">
        <v>2</v>
      </c>
      <c r="F135" s="100" t="str">
        <f t="shared" si="35"/>
        <v>CRITICAL-12</v>
      </c>
      <c r="G135" s="100">
        <f t="shared" si="52"/>
        <v>3</v>
      </c>
      <c r="H135" s="133">
        <f t="shared" ca="1" si="38"/>
        <v>0</v>
      </c>
      <c r="I135" s="133">
        <f t="shared" ca="1" si="36"/>
        <v>0</v>
      </c>
      <c r="W135" s="983" t="str">
        <f ca="1">AB135&amp;"-"&amp;COUNTIF($AB$2:$AB135,$AB135)</f>
        <v>0-2-0-57</v>
      </c>
      <c r="X135" s="983" t="s">
        <v>366</v>
      </c>
      <c r="Y135" s="985">
        <f t="shared" ca="1" si="53"/>
        <v>0</v>
      </c>
      <c r="Z135" s="988">
        <v>2</v>
      </c>
      <c r="AA135" s="985">
        <f t="shared" ca="1" si="54"/>
        <v>0</v>
      </c>
      <c r="AB135" s="987" t="str">
        <f t="shared" ca="1" si="55"/>
        <v>0-2-0</v>
      </c>
    </row>
    <row r="136" spans="1:28" ht="15" customHeight="1" x14ac:dyDescent="0.2">
      <c r="A136" s="130" t="s">
        <v>56</v>
      </c>
      <c r="B136" s="130" t="s">
        <v>147</v>
      </c>
      <c r="C136" s="130" t="s">
        <v>367</v>
      </c>
      <c r="D136" s="974" t="s">
        <v>11</v>
      </c>
      <c r="E136" s="130">
        <v>2</v>
      </c>
      <c r="F136" s="100" t="str">
        <f t="shared" si="35"/>
        <v>CRITICAL-12</v>
      </c>
      <c r="G136" s="100">
        <f t="shared" si="52"/>
        <v>3</v>
      </c>
      <c r="H136" s="133">
        <f t="shared" ca="1" si="38"/>
        <v>0</v>
      </c>
      <c r="I136" s="133">
        <f t="shared" ca="1" si="36"/>
        <v>0</v>
      </c>
      <c r="W136" s="983" t="str">
        <f ca="1">AB136&amp;"-"&amp;COUNTIF($AB$2:$AB136,$AB136)</f>
        <v>0-2-0-58</v>
      </c>
      <c r="X136" s="983" t="s">
        <v>367</v>
      </c>
      <c r="Y136" s="985">
        <f t="shared" ca="1" si="53"/>
        <v>0</v>
      </c>
      <c r="Z136" s="988">
        <v>2</v>
      </c>
      <c r="AA136" s="985">
        <f t="shared" ca="1" si="54"/>
        <v>0</v>
      </c>
      <c r="AB136" s="987" t="str">
        <f t="shared" ca="1" si="55"/>
        <v>0-2-0</v>
      </c>
    </row>
    <row r="137" spans="1:28" ht="15" customHeight="1" x14ac:dyDescent="0.2">
      <c r="A137" s="130" t="s">
        <v>56</v>
      </c>
      <c r="B137" s="130" t="s">
        <v>147</v>
      </c>
      <c r="C137" s="130" t="s">
        <v>368</v>
      </c>
      <c r="D137" s="974" t="s">
        <v>12</v>
      </c>
      <c r="E137" s="130">
        <v>2</v>
      </c>
      <c r="F137" s="100" t="str">
        <f t="shared" si="35"/>
        <v>CRITICAL-12</v>
      </c>
      <c r="G137" s="100">
        <f t="shared" si="52"/>
        <v>3</v>
      </c>
      <c r="H137" s="133">
        <f t="shared" ca="1" si="38"/>
        <v>0</v>
      </c>
      <c r="I137" s="133">
        <f t="shared" ca="1" si="36"/>
        <v>0</v>
      </c>
      <c r="W137" s="983" t="str">
        <f ca="1">AB137&amp;"-"&amp;COUNTIF($AB$2:$AB137,$AB137)</f>
        <v>0-2-0-59</v>
      </c>
      <c r="X137" s="983" t="s">
        <v>368</v>
      </c>
      <c r="Y137" s="985">
        <f t="shared" ca="1" si="53"/>
        <v>0</v>
      </c>
      <c r="Z137" s="988">
        <v>2</v>
      </c>
      <c r="AA137" s="985">
        <f t="shared" ca="1" si="54"/>
        <v>0</v>
      </c>
      <c r="AB137" s="987" t="str">
        <f t="shared" ca="1" si="55"/>
        <v>0-2-0</v>
      </c>
    </row>
    <row r="138" spans="1:28" ht="15" customHeight="1" x14ac:dyDescent="0.2">
      <c r="A138" s="130" t="s">
        <v>56</v>
      </c>
      <c r="B138" s="130" t="s">
        <v>147</v>
      </c>
      <c r="C138" s="130" t="s">
        <v>369</v>
      </c>
      <c r="D138" s="974" t="s">
        <v>13</v>
      </c>
      <c r="E138" s="130">
        <v>3</v>
      </c>
      <c r="F138" s="100" t="str">
        <f t="shared" si="35"/>
        <v>CRITICAL-13</v>
      </c>
      <c r="G138" s="100">
        <f t="shared" si="52"/>
        <v>1</v>
      </c>
      <c r="H138" s="133">
        <f t="shared" ca="1" si="38"/>
        <v>0</v>
      </c>
      <c r="I138" s="133">
        <f t="shared" ca="1" si="36"/>
        <v>0</v>
      </c>
      <c r="W138" s="983" t="str">
        <f ca="1">AB138&amp;"-"&amp;COUNTIF($AB$2:$AB138,$AB138)</f>
        <v>0-3-0-29</v>
      </c>
      <c r="X138" s="983" t="s">
        <v>369</v>
      </c>
      <c r="Y138" s="985">
        <f t="shared" ca="1" si="53"/>
        <v>0</v>
      </c>
      <c r="Z138" s="988">
        <v>3</v>
      </c>
      <c r="AA138" s="985">
        <f t="shared" ca="1" si="54"/>
        <v>0</v>
      </c>
      <c r="AB138" s="987" t="str">
        <f t="shared" ca="1" si="55"/>
        <v>0-3-0</v>
      </c>
    </row>
    <row r="139" spans="1:28" ht="15" customHeight="1" x14ac:dyDescent="0.2">
      <c r="A139" s="130" t="s">
        <v>56</v>
      </c>
      <c r="B139" s="130" t="s">
        <v>149</v>
      </c>
      <c r="C139" s="130" t="s">
        <v>370</v>
      </c>
      <c r="D139" s="974" t="s">
        <v>17</v>
      </c>
      <c r="E139" s="130">
        <v>1</v>
      </c>
      <c r="F139" s="100" t="str">
        <f t="shared" ref="F139:F200" si="56">CONCATENATE($B139,$E139)</f>
        <v>CRITICAL-21</v>
      </c>
      <c r="G139" s="100">
        <f t="shared" si="52"/>
        <v>2</v>
      </c>
      <c r="H139" s="133">
        <f t="shared" ca="1" si="38"/>
        <v>0</v>
      </c>
      <c r="I139" s="133">
        <f t="shared" ref="I139:I200" ca="1" si="57">IFERROR(IF(H139&gt;2,1,0),0)</f>
        <v>0</v>
      </c>
      <c r="W139" s="983" t="str">
        <f ca="1">AB139&amp;"-"&amp;COUNTIF($AB$2:$AB139,$AB139)</f>
        <v>0-1-0-24</v>
      </c>
      <c r="X139" s="983" t="s">
        <v>370</v>
      </c>
      <c r="Y139" s="985">
        <f t="shared" ca="1" si="53"/>
        <v>0</v>
      </c>
      <c r="Z139" s="988">
        <v>1</v>
      </c>
      <c r="AA139" s="985">
        <f t="shared" ca="1" si="54"/>
        <v>0</v>
      </c>
      <c r="AB139" s="987" t="str">
        <f t="shared" ca="1" si="55"/>
        <v>0-1-0</v>
      </c>
    </row>
    <row r="140" spans="1:28" ht="15" customHeight="1" x14ac:dyDescent="0.2">
      <c r="A140" s="130" t="s">
        <v>56</v>
      </c>
      <c r="B140" s="130" t="s">
        <v>149</v>
      </c>
      <c r="C140" s="130" t="s">
        <v>371</v>
      </c>
      <c r="D140" s="974" t="s">
        <v>18</v>
      </c>
      <c r="E140" s="130">
        <v>1</v>
      </c>
      <c r="F140" s="100" t="str">
        <f t="shared" si="56"/>
        <v>CRITICAL-21</v>
      </c>
      <c r="G140" s="100">
        <f t="shared" si="52"/>
        <v>2</v>
      </c>
      <c r="H140" s="133">
        <f t="shared" ref="H140:H201" ca="1" si="58">INT(LEFT(
VLOOKUP($D140, INDIRECT("'"&amp;$A140&amp;"'!"&amp;"$D:$G"), 4,FALSE), 1)
)</f>
        <v>0</v>
      </c>
      <c r="I140" s="133">
        <f t="shared" ca="1" si="57"/>
        <v>0</v>
      </c>
      <c r="W140" s="983" t="str">
        <f ca="1">AB140&amp;"-"&amp;COUNTIF($AB$2:$AB140,$AB140)</f>
        <v>0-1-0-25</v>
      </c>
      <c r="X140" s="983" t="s">
        <v>371</v>
      </c>
      <c r="Y140" s="985">
        <f t="shared" ca="1" si="53"/>
        <v>0</v>
      </c>
      <c r="Z140" s="988">
        <v>1</v>
      </c>
      <c r="AA140" s="985">
        <f t="shared" ca="1" si="54"/>
        <v>0</v>
      </c>
      <c r="AB140" s="987" t="str">
        <f t="shared" ca="1" si="55"/>
        <v>0-1-0</v>
      </c>
    </row>
    <row r="141" spans="1:28" ht="15" customHeight="1" x14ac:dyDescent="0.2">
      <c r="A141" s="130" t="s">
        <v>56</v>
      </c>
      <c r="B141" s="130" t="s">
        <v>149</v>
      </c>
      <c r="C141" s="130" t="s">
        <v>372</v>
      </c>
      <c r="D141" s="974" t="s">
        <v>19</v>
      </c>
      <c r="E141" s="130">
        <v>2</v>
      </c>
      <c r="F141" s="100" t="str">
        <f t="shared" si="56"/>
        <v>CRITICAL-22</v>
      </c>
      <c r="G141" s="100">
        <f t="shared" si="52"/>
        <v>7</v>
      </c>
      <c r="H141" s="133">
        <f t="shared" ca="1" si="58"/>
        <v>0</v>
      </c>
      <c r="I141" s="133">
        <f t="shared" ca="1" si="57"/>
        <v>0</v>
      </c>
      <c r="W141" s="983" t="str">
        <f ca="1">AB141&amp;"-"&amp;COUNTIF($AB$2:$AB141,$AB141)</f>
        <v>0-2-0-60</v>
      </c>
      <c r="X141" s="983" t="s">
        <v>372</v>
      </c>
      <c r="Y141" s="985">
        <f t="shared" ca="1" si="53"/>
        <v>0</v>
      </c>
      <c r="Z141" s="988">
        <v>2</v>
      </c>
      <c r="AA141" s="985">
        <f t="shared" ca="1" si="54"/>
        <v>0</v>
      </c>
      <c r="AB141" s="987" t="str">
        <f t="shared" ca="1" si="55"/>
        <v>0-2-0</v>
      </c>
    </row>
    <row r="142" spans="1:28" ht="15" customHeight="1" x14ac:dyDescent="0.2">
      <c r="A142" s="130" t="s">
        <v>56</v>
      </c>
      <c r="B142" s="130" t="s">
        <v>149</v>
      </c>
      <c r="C142" s="130" t="s">
        <v>373</v>
      </c>
      <c r="D142" s="974" t="s">
        <v>20</v>
      </c>
      <c r="E142" s="130">
        <v>2</v>
      </c>
      <c r="F142" s="100" t="str">
        <f t="shared" si="56"/>
        <v>CRITICAL-22</v>
      </c>
      <c r="G142" s="100">
        <f t="shared" si="52"/>
        <v>7</v>
      </c>
      <c r="H142" s="133">
        <f t="shared" ca="1" si="58"/>
        <v>0</v>
      </c>
      <c r="I142" s="133">
        <f t="shared" ca="1" si="57"/>
        <v>0</v>
      </c>
      <c r="W142" s="983" t="str">
        <f ca="1">AB142&amp;"-"&amp;COUNTIF($AB$2:$AB142,$AB142)</f>
        <v>0-2-0-61</v>
      </c>
      <c r="X142" s="983" t="s">
        <v>373</v>
      </c>
      <c r="Y142" s="985">
        <f t="shared" ca="1" si="53"/>
        <v>0</v>
      </c>
      <c r="Z142" s="988">
        <v>2</v>
      </c>
      <c r="AA142" s="985">
        <f t="shared" ca="1" si="54"/>
        <v>0</v>
      </c>
      <c r="AB142" s="987" t="str">
        <f t="shared" ca="1" si="55"/>
        <v>0-2-0</v>
      </c>
    </row>
    <row r="143" spans="1:28" ht="15" customHeight="1" x14ac:dyDescent="0.2">
      <c r="A143" s="130" t="s">
        <v>56</v>
      </c>
      <c r="B143" s="130" t="s">
        <v>149</v>
      </c>
      <c r="C143" s="130" t="s">
        <v>374</v>
      </c>
      <c r="D143" s="974" t="s">
        <v>21</v>
      </c>
      <c r="E143" s="130">
        <v>2</v>
      </c>
      <c r="F143" s="100" t="str">
        <f t="shared" si="56"/>
        <v>CRITICAL-22</v>
      </c>
      <c r="G143" s="100">
        <f t="shared" si="52"/>
        <v>7</v>
      </c>
      <c r="H143" s="133">
        <f t="shared" ca="1" si="58"/>
        <v>0</v>
      </c>
      <c r="I143" s="133">
        <f t="shared" ca="1" si="57"/>
        <v>0</v>
      </c>
      <c r="W143" s="983" t="str">
        <f ca="1">AB143&amp;"-"&amp;COUNTIF($AB$2:$AB143,$AB143)</f>
        <v>0-2-0-62</v>
      </c>
      <c r="X143" s="983" t="s">
        <v>374</v>
      </c>
      <c r="Y143" s="985">
        <f t="shared" ca="1" si="53"/>
        <v>0</v>
      </c>
      <c r="Z143" s="988">
        <v>2</v>
      </c>
      <c r="AA143" s="985">
        <f t="shared" ca="1" si="54"/>
        <v>0</v>
      </c>
      <c r="AB143" s="987" t="str">
        <f t="shared" ca="1" si="55"/>
        <v>0-2-0</v>
      </c>
    </row>
    <row r="144" spans="1:28" ht="15" customHeight="1" x14ac:dyDescent="0.2">
      <c r="A144" s="130" t="s">
        <v>56</v>
      </c>
      <c r="B144" s="130" t="s">
        <v>149</v>
      </c>
      <c r="C144" s="130" t="s">
        <v>375</v>
      </c>
      <c r="D144" s="974" t="s">
        <v>103</v>
      </c>
      <c r="E144" s="130">
        <v>2</v>
      </c>
      <c r="F144" s="100" t="str">
        <f t="shared" si="56"/>
        <v>CRITICAL-22</v>
      </c>
      <c r="G144" s="100">
        <f t="shared" si="52"/>
        <v>7</v>
      </c>
      <c r="H144" s="133">
        <f t="shared" ca="1" si="58"/>
        <v>0</v>
      </c>
      <c r="I144" s="133">
        <f t="shared" ca="1" si="57"/>
        <v>0</v>
      </c>
      <c r="W144" s="983" t="str">
        <f ca="1">AB144&amp;"-"&amp;COUNTIF($AB$2:$AB144,$AB144)</f>
        <v>0-2-0-63</v>
      </c>
      <c r="X144" s="983" t="s">
        <v>375</v>
      </c>
      <c r="Y144" s="985">
        <f t="shared" ca="1" si="53"/>
        <v>0</v>
      </c>
      <c r="Z144" s="988">
        <v>2</v>
      </c>
      <c r="AA144" s="985">
        <f t="shared" ca="1" si="54"/>
        <v>0</v>
      </c>
      <c r="AB144" s="987" t="str">
        <f t="shared" ca="1" si="55"/>
        <v>0-2-0</v>
      </c>
    </row>
    <row r="145" spans="1:28" ht="15" customHeight="1" x14ac:dyDescent="0.2">
      <c r="A145" s="130" t="s">
        <v>56</v>
      </c>
      <c r="B145" s="130" t="s">
        <v>149</v>
      </c>
      <c r="C145" s="130" t="s">
        <v>376</v>
      </c>
      <c r="D145" s="974" t="s">
        <v>165</v>
      </c>
      <c r="E145" s="130">
        <v>2</v>
      </c>
      <c r="F145" s="100" t="str">
        <f t="shared" si="56"/>
        <v>CRITICAL-22</v>
      </c>
      <c r="G145" s="100">
        <f t="shared" si="52"/>
        <v>7</v>
      </c>
      <c r="H145" s="133">
        <f t="shared" ca="1" si="58"/>
        <v>0</v>
      </c>
      <c r="I145" s="133">
        <f t="shared" ca="1" si="57"/>
        <v>0</v>
      </c>
      <c r="W145" s="983" t="str">
        <f ca="1">AB145&amp;"-"&amp;COUNTIF($AB$2:$AB145,$AB145)</f>
        <v>0-2-0-64</v>
      </c>
      <c r="X145" s="983" t="s">
        <v>376</v>
      </c>
      <c r="Y145" s="985">
        <f t="shared" ca="1" si="53"/>
        <v>0</v>
      </c>
      <c r="Z145" s="988">
        <v>2</v>
      </c>
      <c r="AA145" s="985">
        <f t="shared" ca="1" si="54"/>
        <v>0</v>
      </c>
      <c r="AB145" s="987" t="str">
        <f t="shared" ca="1" si="55"/>
        <v>0-2-0</v>
      </c>
    </row>
    <row r="146" spans="1:28" ht="15" customHeight="1" x14ac:dyDescent="0.2">
      <c r="A146" s="130" t="s">
        <v>56</v>
      </c>
      <c r="B146" s="130" t="s">
        <v>149</v>
      </c>
      <c r="C146" s="130" t="s">
        <v>377</v>
      </c>
      <c r="D146" s="974" t="s">
        <v>167</v>
      </c>
      <c r="E146" s="130">
        <v>2</v>
      </c>
      <c r="F146" s="100" t="str">
        <f t="shared" si="56"/>
        <v>CRITICAL-22</v>
      </c>
      <c r="G146" s="100">
        <f t="shared" si="52"/>
        <v>7</v>
      </c>
      <c r="H146" s="133">
        <f t="shared" ca="1" si="58"/>
        <v>0</v>
      </c>
      <c r="I146" s="133">
        <f t="shared" ca="1" si="57"/>
        <v>0</v>
      </c>
      <c r="W146" s="983" t="str">
        <f ca="1">AB146&amp;"-"&amp;COUNTIF($AB$2:$AB146,$AB146)</f>
        <v>0-2-0-65</v>
      </c>
      <c r="X146" s="983" t="s">
        <v>377</v>
      </c>
      <c r="Y146" s="985">
        <f t="shared" ca="1" si="53"/>
        <v>0</v>
      </c>
      <c r="Z146" s="988">
        <v>2</v>
      </c>
      <c r="AA146" s="985">
        <f t="shared" ca="1" si="54"/>
        <v>0</v>
      </c>
      <c r="AB146" s="987" t="str">
        <f t="shared" ca="1" si="55"/>
        <v>0-2-0</v>
      </c>
    </row>
    <row r="147" spans="1:28" ht="15" customHeight="1" x14ac:dyDescent="0.2">
      <c r="A147" s="130" t="s">
        <v>56</v>
      </c>
      <c r="B147" s="130" t="s">
        <v>149</v>
      </c>
      <c r="C147" s="130" t="s">
        <v>378</v>
      </c>
      <c r="D147" s="974" t="s">
        <v>198</v>
      </c>
      <c r="E147" s="130">
        <v>2</v>
      </c>
      <c r="F147" s="100" t="str">
        <f t="shared" si="56"/>
        <v>CRITICAL-22</v>
      </c>
      <c r="G147" s="100">
        <f t="shared" si="52"/>
        <v>7</v>
      </c>
      <c r="H147" s="133">
        <f t="shared" ca="1" si="58"/>
        <v>0</v>
      </c>
      <c r="I147" s="133">
        <f t="shared" ca="1" si="57"/>
        <v>0</v>
      </c>
      <c r="W147" s="983" t="str">
        <f ca="1">AB147&amp;"-"&amp;COUNTIF($AB$2:$AB147,$AB147)</f>
        <v>0-2-0-66</v>
      </c>
      <c r="X147" s="983" t="s">
        <v>378</v>
      </c>
      <c r="Y147" s="985">
        <f t="shared" ca="1" si="53"/>
        <v>0</v>
      </c>
      <c r="Z147" s="988">
        <v>2</v>
      </c>
      <c r="AA147" s="985">
        <f t="shared" ca="1" si="54"/>
        <v>0</v>
      </c>
      <c r="AB147" s="987" t="str">
        <f t="shared" ca="1" si="55"/>
        <v>0-2-0</v>
      </c>
    </row>
    <row r="148" spans="1:28" ht="15" customHeight="1" x14ac:dyDescent="0.2">
      <c r="A148" s="130" t="s">
        <v>56</v>
      </c>
      <c r="B148" s="130" t="s">
        <v>149</v>
      </c>
      <c r="C148" s="130" t="s">
        <v>379</v>
      </c>
      <c r="D148" s="974" t="s">
        <v>200</v>
      </c>
      <c r="E148" s="130">
        <v>3</v>
      </c>
      <c r="F148" s="100" t="str">
        <f t="shared" si="56"/>
        <v>CRITICAL-23</v>
      </c>
      <c r="G148" s="100">
        <f t="shared" si="52"/>
        <v>2</v>
      </c>
      <c r="H148" s="133">
        <f t="shared" ca="1" si="58"/>
        <v>0</v>
      </c>
      <c r="I148" s="133">
        <f t="shared" ca="1" si="57"/>
        <v>0</v>
      </c>
      <c r="W148" s="983" t="str">
        <f ca="1">AB148&amp;"-"&amp;COUNTIF($AB$2:$AB148,$AB148)</f>
        <v>0-3-0-30</v>
      </c>
      <c r="X148" s="983" t="s">
        <v>379</v>
      </c>
      <c r="Y148" s="985">
        <f t="shared" ca="1" si="53"/>
        <v>0</v>
      </c>
      <c r="Z148" s="988">
        <v>3</v>
      </c>
      <c r="AA148" s="985">
        <f t="shared" ca="1" si="54"/>
        <v>0</v>
      </c>
      <c r="AB148" s="987" t="str">
        <f t="shared" ca="1" si="55"/>
        <v>0-3-0</v>
      </c>
    </row>
    <row r="149" spans="1:28" ht="15" customHeight="1" x14ac:dyDescent="0.2">
      <c r="A149" s="130" t="s">
        <v>56</v>
      </c>
      <c r="B149" s="130" t="s">
        <v>149</v>
      </c>
      <c r="C149" s="130" t="s">
        <v>380</v>
      </c>
      <c r="D149" s="974" t="s">
        <v>202</v>
      </c>
      <c r="E149" s="130">
        <v>3</v>
      </c>
      <c r="F149" s="100" t="str">
        <f t="shared" si="56"/>
        <v>CRITICAL-23</v>
      </c>
      <c r="G149" s="100">
        <f t="shared" si="52"/>
        <v>2</v>
      </c>
      <c r="H149" s="133">
        <f t="shared" ca="1" si="58"/>
        <v>0</v>
      </c>
      <c r="I149" s="133">
        <f t="shared" ca="1" si="57"/>
        <v>0</v>
      </c>
      <c r="W149" s="983" t="str">
        <f ca="1">AB149&amp;"-"&amp;COUNTIF($AB$2:$AB149,$AB149)</f>
        <v>0-3-0-31</v>
      </c>
      <c r="X149" s="983" t="s">
        <v>380</v>
      </c>
      <c r="Y149" s="985">
        <f t="shared" ca="1" si="53"/>
        <v>0</v>
      </c>
      <c r="Z149" s="988">
        <v>3</v>
      </c>
      <c r="AA149" s="985">
        <f t="shared" ca="1" si="54"/>
        <v>0</v>
      </c>
      <c r="AB149" s="987" t="str">
        <f t="shared" ca="1" si="55"/>
        <v>0-3-0</v>
      </c>
    </row>
    <row r="150" spans="1:28" ht="15" customHeight="1" x14ac:dyDescent="0.2">
      <c r="A150" s="130" t="s">
        <v>56</v>
      </c>
      <c r="B150" s="130" t="s">
        <v>151</v>
      </c>
      <c r="C150" s="130" t="s">
        <v>381</v>
      </c>
      <c r="D150" s="974" t="s">
        <v>22</v>
      </c>
      <c r="E150" s="130">
        <v>1</v>
      </c>
      <c r="F150" s="100" t="str">
        <f t="shared" si="56"/>
        <v>CRITICAL-31</v>
      </c>
      <c r="G150" s="100">
        <f t="shared" si="52"/>
        <v>4</v>
      </c>
      <c r="H150" s="133">
        <f t="shared" ca="1" si="58"/>
        <v>0</v>
      </c>
      <c r="I150" s="133">
        <f t="shared" ca="1" si="57"/>
        <v>0</v>
      </c>
      <c r="W150" s="983" t="str">
        <f ca="1">AB150&amp;"-"&amp;COUNTIF($AB$2:$AB150,$AB150)</f>
        <v>0-1-0-26</v>
      </c>
      <c r="X150" s="983" t="s">
        <v>381</v>
      </c>
      <c r="Y150" s="985">
        <f t="shared" ca="1" si="53"/>
        <v>0</v>
      </c>
      <c r="Z150" s="988">
        <v>1</v>
      </c>
      <c r="AA150" s="985">
        <f t="shared" ca="1" si="54"/>
        <v>0</v>
      </c>
      <c r="AB150" s="987" t="str">
        <f t="shared" ca="1" si="55"/>
        <v>0-1-0</v>
      </c>
    </row>
    <row r="151" spans="1:28" ht="15" customHeight="1" x14ac:dyDescent="0.2">
      <c r="A151" s="130" t="s">
        <v>56</v>
      </c>
      <c r="B151" s="130" t="s">
        <v>151</v>
      </c>
      <c r="C151" s="130" t="s">
        <v>382</v>
      </c>
      <c r="D151" s="974" t="s">
        <v>23</v>
      </c>
      <c r="E151" s="130">
        <v>1</v>
      </c>
      <c r="F151" s="100" t="str">
        <f t="shared" si="56"/>
        <v>CRITICAL-31</v>
      </c>
      <c r="G151" s="100">
        <f t="shared" si="52"/>
        <v>4</v>
      </c>
      <c r="H151" s="133">
        <f t="shared" ca="1" si="58"/>
        <v>0</v>
      </c>
      <c r="I151" s="133">
        <f t="shared" ca="1" si="57"/>
        <v>0</v>
      </c>
      <c r="W151" s="983" t="str">
        <f ca="1">AB151&amp;"-"&amp;COUNTIF($AB$2:$AB151,$AB151)</f>
        <v>0-1-0-27</v>
      </c>
      <c r="X151" s="983" t="s">
        <v>382</v>
      </c>
      <c r="Y151" s="985">
        <f t="shared" ca="1" si="53"/>
        <v>0</v>
      </c>
      <c r="Z151" s="988">
        <v>1</v>
      </c>
      <c r="AA151" s="985">
        <f t="shared" ca="1" si="54"/>
        <v>0</v>
      </c>
      <c r="AB151" s="987" t="str">
        <f t="shared" ca="1" si="55"/>
        <v>0-1-0</v>
      </c>
    </row>
    <row r="152" spans="1:28" ht="15" customHeight="1" x14ac:dyDescent="0.2">
      <c r="A152" s="130" t="s">
        <v>56</v>
      </c>
      <c r="B152" s="130" t="s">
        <v>151</v>
      </c>
      <c r="C152" s="130" t="s">
        <v>383</v>
      </c>
      <c r="D152" s="974" t="s">
        <v>24</v>
      </c>
      <c r="E152" s="130">
        <v>1</v>
      </c>
      <c r="F152" s="100" t="str">
        <f t="shared" si="56"/>
        <v>CRITICAL-31</v>
      </c>
      <c r="G152" s="100">
        <f t="shared" si="52"/>
        <v>4</v>
      </c>
      <c r="H152" s="133">
        <f t="shared" ca="1" si="58"/>
        <v>0</v>
      </c>
      <c r="I152" s="133">
        <f t="shared" ca="1" si="57"/>
        <v>0</v>
      </c>
      <c r="W152" s="983" t="str">
        <f ca="1">AB152&amp;"-"&amp;COUNTIF($AB$2:$AB152,$AB152)</f>
        <v>0-1-0-28</v>
      </c>
      <c r="X152" s="983" t="s">
        <v>383</v>
      </c>
      <c r="Y152" s="985">
        <f t="shared" ca="1" si="53"/>
        <v>0</v>
      </c>
      <c r="Z152" s="988">
        <v>1</v>
      </c>
      <c r="AA152" s="985">
        <f t="shared" ca="1" si="54"/>
        <v>0</v>
      </c>
      <c r="AB152" s="987" t="str">
        <f t="shared" ca="1" si="55"/>
        <v>0-1-0</v>
      </c>
    </row>
    <row r="153" spans="1:28" ht="15" customHeight="1" x14ac:dyDescent="0.2">
      <c r="A153" s="130" t="s">
        <v>56</v>
      </c>
      <c r="B153" s="130" t="s">
        <v>151</v>
      </c>
      <c r="C153" s="130" t="s">
        <v>384</v>
      </c>
      <c r="D153" s="974" t="s">
        <v>25</v>
      </c>
      <c r="E153" s="130">
        <v>1</v>
      </c>
      <c r="F153" s="100" t="str">
        <f t="shared" si="56"/>
        <v>CRITICAL-31</v>
      </c>
      <c r="G153" s="100">
        <f t="shared" si="52"/>
        <v>4</v>
      </c>
      <c r="H153" s="133">
        <f t="shared" ca="1" si="58"/>
        <v>0</v>
      </c>
      <c r="I153" s="133">
        <f t="shared" ca="1" si="57"/>
        <v>0</v>
      </c>
      <c r="W153" s="983" t="str">
        <f ca="1">AB153&amp;"-"&amp;COUNTIF($AB$2:$AB153,$AB153)</f>
        <v>0-1-0-29</v>
      </c>
      <c r="X153" s="983" t="s">
        <v>384</v>
      </c>
      <c r="Y153" s="985">
        <f t="shared" ca="1" si="53"/>
        <v>0</v>
      </c>
      <c r="Z153" s="988">
        <v>1</v>
      </c>
      <c r="AA153" s="985">
        <f t="shared" ca="1" si="54"/>
        <v>0</v>
      </c>
      <c r="AB153" s="987" t="str">
        <f t="shared" ca="1" si="55"/>
        <v>0-1-0</v>
      </c>
    </row>
    <row r="154" spans="1:28" ht="15" customHeight="1" x14ac:dyDescent="0.2">
      <c r="A154" s="130" t="s">
        <v>56</v>
      </c>
      <c r="B154" s="130" t="s">
        <v>151</v>
      </c>
      <c r="C154" s="130" t="s">
        <v>385</v>
      </c>
      <c r="D154" s="974" t="s">
        <v>26</v>
      </c>
      <c r="E154" s="130">
        <v>2</v>
      </c>
      <c r="F154" s="100" t="str">
        <f t="shared" si="56"/>
        <v>CRITICAL-32</v>
      </c>
      <c r="G154" s="100">
        <f t="shared" si="52"/>
        <v>2</v>
      </c>
      <c r="H154" s="133">
        <f t="shared" ca="1" si="58"/>
        <v>0</v>
      </c>
      <c r="I154" s="133">
        <f t="shared" ca="1" si="57"/>
        <v>0</v>
      </c>
      <c r="W154" s="983" t="str">
        <f ca="1">AB154&amp;"-"&amp;COUNTIF($AB$2:$AB154,$AB154)</f>
        <v>0-2-0-67</v>
      </c>
      <c r="X154" s="983" t="s">
        <v>385</v>
      </c>
      <c r="Y154" s="985">
        <f t="shared" ca="1" si="53"/>
        <v>0</v>
      </c>
      <c r="Z154" s="988">
        <v>2</v>
      </c>
      <c r="AA154" s="985">
        <f t="shared" ca="1" si="54"/>
        <v>0</v>
      </c>
      <c r="AB154" s="987" t="str">
        <f t="shared" ca="1" si="55"/>
        <v>0-2-0</v>
      </c>
    </row>
    <row r="155" spans="1:28" ht="15" customHeight="1" x14ac:dyDescent="0.2">
      <c r="A155" s="130" t="s">
        <v>56</v>
      </c>
      <c r="B155" s="130" t="s">
        <v>151</v>
      </c>
      <c r="C155" s="130" t="s">
        <v>386</v>
      </c>
      <c r="D155" s="974" t="s">
        <v>27</v>
      </c>
      <c r="E155" s="130">
        <v>2</v>
      </c>
      <c r="F155" s="100" t="str">
        <f t="shared" si="56"/>
        <v>CRITICAL-32</v>
      </c>
      <c r="G155" s="100">
        <f t="shared" si="52"/>
        <v>2</v>
      </c>
      <c r="H155" s="133">
        <f t="shared" ca="1" si="58"/>
        <v>0</v>
      </c>
      <c r="I155" s="133">
        <f t="shared" ca="1" si="57"/>
        <v>0</v>
      </c>
      <c r="W155" s="983" t="str">
        <f ca="1">AB155&amp;"-"&amp;COUNTIF($AB$2:$AB155,$AB155)</f>
        <v>0-2-0-68</v>
      </c>
      <c r="X155" s="983" t="s">
        <v>386</v>
      </c>
      <c r="Y155" s="985">
        <f t="shared" ca="1" si="53"/>
        <v>0</v>
      </c>
      <c r="Z155" s="988">
        <v>2</v>
      </c>
      <c r="AA155" s="985">
        <f t="shared" ca="1" si="54"/>
        <v>0</v>
      </c>
      <c r="AB155" s="987" t="str">
        <f t="shared" ca="1" si="55"/>
        <v>0-2-0</v>
      </c>
    </row>
    <row r="156" spans="1:28" ht="15" customHeight="1" x14ac:dyDescent="0.2">
      <c r="A156" s="130" t="s">
        <v>56</v>
      </c>
      <c r="B156" s="130" t="s">
        <v>151</v>
      </c>
      <c r="C156" s="130" t="s">
        <v>387</v>
      </c>
      <c r="D156" s="974" t="s">
        <v>28</v>
      </c>
      <c r="E156" s="130">
        <v>3</v>
      </c>
      <c r="F156" s="100" t="str">
        <f t="shared" si="56"/>
        <v>CRITICAL-33</v>
      </c>
      <c r="G156" s="100">
        <f t="shared" si="52"/>
        <v>2</v>
      </c>
      <c r="H156" s="133">
        <f t="shared" ca="1" si="58"/>
        <v>0</v>
      </c>
      <c r="I156" s="133">
        <f t="shared" ca="1" si="57"/>
        <v>0</v>
      </c>
      <c r="W156" s="983" t="str">
        <f ca="1">AB156&amp;"-"&amp;COUNTIF($AB$2:$AB156,$AB156)</f>
        <v>0-3-0-32</v>
      </c>
      <c r="X156" s="983" t="s">
        <v>387</v>
      </c>
      <c r="Y156" s="985">
        <f t="shared" ca="1" si="53"/>
        <v>0</v>
      </c>
      <c r="Z156" s="988">
        <v>3</v>
      </c>
      <c r="AA156" s="985">
        <f t="shared" ca="1" si="54"/>
        <v>0</v>
      </c>
      <c r="AB156" s="987" t="str">
        <f t="shared" ca="1" si="55"/>
        <v>0-3-0</v>
      </c>
    </row>
    <row r="157" spans="1:28" ht="15" customHeight="1" x14ac:dyDescent="0.2">
      <c r="A157" s="130" t="s">
        <v>56</v>
      </c>
      <c r="B157" s="130" t="s">
        <v>151</v>
      </c>
      <c r="C157" s="130" t="s">
        <v>388</v>
      </c>
      <c r="D157" s="974" t="s">
        <v>232</v>
      </c>
      <c r="E157" s="130">
        <v>3</v>
      </c>
      <c r="F157" s="100" t="str">
        <f t="shared" si="56"/>
        <v>CRITICAL-33</v>
      </c>
      <c r="G157" s="100">
        <f t="shared" si="52"/>
        <v>2</v>
      </c>
      <c r="H157" s="133">
        <f ca="1">INT(LEFT(
VLOOKUP($D157, INDIRECT("'"&amp;$A157&amp;"'!"&amp;"$D:$G"), 4,FALSE), 1)
)</f>
        <v>0</v>
      </c>
      <c r="I157" s="133">
        <f t="shared" ca="1" si="57"/>
        <v>0</v>
      </c>
      <c r="W157" s="983" t="str">
        <f ca="1">AB157&amp;"-"&amp;COUNTIF($AB$2:$AB157,$AB157)</f>
        <v>0-3-0-33</v>
      </c>
      <c r="X157" s="983" t="s">
        <v>388</v>
      </c>
      <c r="Y157" s="985">
        <f t="shared" ca="1" si="53"/>
        <v>0</v>
      </c>
      <c r="Z157" s="988">
        <v>3</v>
      </c>
      <c r="AA157" s="985">
        <f t="shared" ca="1" si="54"/>
        <v>0</v>
      </c>
      <c r="AB157" s="987" t="str">
        <f t="shared" ca="1" si="55"/>
        <v>0-3-0</v>
      </c>
    </row>
    <row r="158" spans="1:28" ht="15" customHeight="1" x14ac:dyDescent="0.2">
      <c r="A158" s="406" t="s">
        <v>79</v>
      </c>
      <c r="B158" s="406" t="s">
        <v>132</v>
      </c>
      <c r="C158" s="406" t="s">
        <v>336</v>
      </c>
      <c r="D158" s="973" t="s">
        <v>5</v>
      </c>
      <c r="E158" s="406">
        <v>1</v>
      </c>
      <c r="F158" s="100" t="str">
        <f t="shared" si="56"/>
        <v>PROGRAM-11</v>
      </c>
      <c r="G158" s="100">
        <f t="shared" si="52"/>
        <v>1</v>
      </c>
      <c r="H158" s="133">
        <f ca="1">INT(LEFT(
VLOOKUP($D158, INDIRECT("'"&amp;$A158&amp;"'!"&amp;"$D:$G"), 4,FALSE), 1)
)</f>
        <v>0</v>
      </c>
      <c r="I158" s="133">
        <f t="shared" ca="1" si="57"/>
        <v>0</v>
      </c>
      <c r="W158" s="983" t="str">
        <f ca="1">AB158&amp;"-"&amp;COUNTIF($AB$2:$AB158,$AB158)</f>
        <v>0-1-0-30</v>
      </c>
      <c r="X158" s="983" t="s">
        <v>336</v>
      </c>
      <c r="Y158" s="985">
        <f t="shared" ca="1" si="53"/>
        <v>0</v>
      </c>
      <c r="Z158" s="988">
        <v>1</v>
      </c>
      <c r="AA158" s="985">
        <f t="shared" ca="1" si="54"/>
        <v>0</v>
      </c>
      <c r="AB158" s="987" t="str">
        <f t="shared" ca="1" si="55"/>
        <v>0-1-0</v>
      </c>
    </row>
    <row r="159" spans="1:28" ht="15" customHeight="1" x14ac:dyDescent="0.2">
      <c r="A159" s="406" t="s">
        <v>79</v>
      </c>
      <c r="B159" s="406" t="s">
        <v>132</v>
      </c>
      <c r="C159" s="406" t="s">
        <v>337</v>
      </c>
      <c r="D159" s="973" t="s">
        <v>7</v>
      </c>
      <c r="E159" s="406">
        <v>2</v>
      </c>
      <c r="F159" s="100" t="str">
        <f t="shared" si="56"/>
        <v>PROGRAM-12</v>
      </c>
      <c r="G159" s="100">
        <f t="shared" si="52"/>
        <v>6</v>
      </c>
      <c r="H159" s="133">
        <f t="shared" ref="H159:H181" ca="1" si="59">INT(LEFT(
VLOOKUP($D159, INDIRECT("'"&amp;$A159&amp;"'!"&amp;"$D:$G"), 4,FALSE), 1)
)</f>
        <v>0</v>
      </c>
      <c r="I159" s="133">
        <f t="shared" ca="1" si="57"/>
        <v>0</v>
      </c>
      <c r="W159" s="983" t="str">
        <f ca="1">AB159&amp;"-"&amp;COUNTIF($AB$2:$AB159,$AB159)</f>
        <v>0-2-0-69</v>
      </c>
      <c r="X159" s="983" t="s">
        <v>337</v>
      </c>
      <c r="Y159" s="985">
        <f t="shared" ca="1" si="53"/>
        <v>0</v>
      </c>
      <c r="Z159" s="988">
        <v>2</v>
      </c>
      <c r="AA159" s="985">
        <f t="shared" ca="1" si="54"/>
        <v>0</v>
      </c>
      <c r="AB159" s="987" t="str">
        <f t="shared" ca="1" si="55"/>
        <v>0-2-0</v>
      </c>
    </row>
    <row r="160" spans="1:28" ht="15" customHeight="1" x14ac:dyDescent="0.2">
      <c r="A160" s="406" t="s">
        <v>79</v>
      </c>
      <c r="B160" s="406" t="s">
        <v>132</v>
      </c>
      <c r="C160" s="406" t="s">
        <v>338</v>
      </c>
      <c r="D160" s="973" t="s">
        <v>8</v>
      </c>
      <c r="E160" s="406">
        <v>2</v>
      </c>
      <c r="F160" s="100" t="str">
        <f t="shared" si="56"/>
        <v>PROGRAM-12</v>
      </c>
      <c r="G160" s="100">
        <f t="shared" si="52"/>
        <v>6</v>
      </c>
      <c r="H160" s="133">
        <f t="shared" ca="1" si="59"/>
        <v>0</v>
      </c>
      <c r="I160" s="133">
        <f t="shared" ca="1" si="57"/>
        <v>0</v>
      </c>
      <c r="W160" s="983" t="str">
        <f ca="1">AB160&amp;"-"&amp;COUNTIF($AB$2:$AB160,$AB160)</f>
        <v>0-2-0-70</v>
      </c>
      <c r="X160" s="983" t="s">
        <v>338</v>
      </c>
      <c r="Y160" s="985">
        <f t="shared" ca="1" si="53"/>
        <v>0</v>
      </c>
      <c r="Z160" s="988">
        <v>2</v>
      </c>
      <c r="AA160" s="985">
        <f t="shared" ca="1" si="54"/>
        <v>0</v>
      </c>
      <c r="AB160" s="987" t="str">
        <f t="shared" ca="1" si="55"/>
        <v>0-2-0</v>
      </c>
    </row>
    <row r="161" spans="1:28" ht="15" customHeight="1" x14ac:dyDescent="0.2">
      <c r="A161" s="406" t="s">
        <v>79</v>
      </c>
      <c r="B161" s="406" t="s">
        <v>132</v>
      </c>
      <c r="C161" s="406" t="s">
        <v>339</v>
      </c>
      <c r="D161" s="973" t="s">
        <v>9</v>
      </c>
      <c r="E161" s="406">
        <v>2</v>
      </c>
      <c r="F161" s="100" t="str">
        <f t="shared" si="56"/>
        <v>PROGRAM-12</v>
      </c>
      <c r="G161" s="100">
        <f t="shared" si="52"/>
        <v>6</v>
      </c>
      <c r="H161" s="133">
        <f t="shared" ca="1" si="59"/>
        <v>0</v>
      </c>
      <c r="I161" s="133">
        <f t="shared" ca="1" si="57"/>
        <v>0</v>
      </c>
      <c r="W161" s="983" t="str">
        <f ca="1">AB161&amp;"-"&amp;COUNTIF($AB$2:$AB161,$AB161)</f>
        <v>0-2-0-71</v>
      </c>
      <c r="X161" s="983" t="s">
        <v>339</v>
      </c>
      <c r="Y161" s="985">
        <f t="shared" ca="1" si="53"/>
        <v>0</v>
      </c>
      <c r="Z161" s="988">
        <v>2</v>
      </c>
      <c r="AA161" s="985">
        <f t="shared" ca="1" si="54"/>
        <v>0</v>
      </c>
      <c r="AB161" s="987" t="str">
        <f t="shared" ca="1" si="55"/>
        <v>0-2-0</v>
      </c>
    </row>
    <row r="162" spans="1:28" ht="15" customHeight="1" x14ac:dyDescent="0.2">
      <c r="A162" s="406" t="s">
        <v>79</v>
      </c>
      <c r="B162" s="406" t="s">
        <v>132</v>
      </c>
      <c r="C162" s="406" t="s">
        <v>340</v>
      </c>
      <c r="D162" s="973" t="s">
        <v>10</v>
      </c>
      <c r="E162" s="406">
        <v>2</v>
      </c>
      <c r="F162" s="100" t="str">
        <f t="shared" si="56"/>
        <v>PROGRAM-12</v>
      </c>
      <c r="G162" s="100">
        <f t="shared" si="52"/>
        <v>6</v>
      </c>
      <c r="H162" s="133">
        <f t="shared" ca="1" si="59"/>
        <v>0</v>
      </c>
      <c r="I162" s="133">
        <f t="shared" ca="1" si="57"/>
        <v>0</v>
      </c>
      <c r="W162" s="983" t="str">
        <f ca="1">AB162&amp;"-"&amp;COUNTIF($AB$2:$AB162,$AB162)</f>
        <v>0-2-0-72</v>
      </c>
      <c r="X162" s="983" t="s">
        <v>340</v>
      </c>
      <c r="Y162" s="985">
        <f t="shared" ref="Y162:Y180" ca="1" si="60">VLOOKUP(LEFT($X162,LEN($X162)-1),$K:$O,5,FALSE)</f>
        <v>0</v>
      </c>
      <c r="Z162" s="988">
        <v>2</v>
      </c>
      <c r="AA162" s="985">
        <f t="shared" ca="1" si="54"/>
        <v>0</v>
      </c>
      <c r="AB162" s="987" t="str">
        <f t="shared" ca="1" si="55"/>
        <v>0-2-0</v>
      </c>
    </row>
    <row r="163" spans="1:28" ht="15" customHeight="1" x14ac:dyDescent="0.2">
      <c r="A163" s="406" t="s">
        <v>79</v>
      </c>
      <c r="B163" s="406" t="s">
        <v>132</v>
      </c>
      <c r="C163" s="406" t="s">
        <v>341</v>
      </c>
      <c r="D163" s="973" t="s">
        <v>11</v>
      </c>
      <c r="E163" s="406">
        <v>2</v>
      </c>
      <c r="F163" s="100" t="str">
        <f t="shared" si="56"/>
        <v>PROGRAM-12</v>
      </c>
      <c r="G163" s="100">
        <f t="shared" si="52"/>
        <v>6</v>
      </c>
      <c r="H163" s="133">
        <f t="shared" ca="1" si="59"/>
        <v>0</v>
      </c>
      <c r="I163" s="133">
        <f t="shared" ca="1" si="57"/>
        <v>0</v>
      </c>
      <c r="W163" s="983" t="str">
        <f ca="1">AB163&amp;"-"&amp;COUNTIF($AB$2:$AB163,$AB163)</f>
        <v>0-2-0-73</v>
      </c>
      <c r="X163" s="983" t="s">
        <v>341</v>
      </c>
      <c r="Y163" s="985">
        <f t="shared" ca="1" si="60"/>
        <v>0</v>
      </c>
      <c r="Z163" s="988">
        <v>2</v>
      </c>
      <c r="AA163" s="985">
        <f t="shared" ca="1" si="54"/>
        <v>0</v>
      </c>
      <c r="AB163" s="987" t="str">
        <f t="shared" ca="1" si="55"/>
        <v>0-2-0</v>
      </c>
    </row>
    <row r="164" spans="1:28" ht="15" customHeight="1" x14ac:dyDescent="0.2">
      <c r="A164" s="406" t="s">
        <v>79</v>
      </c>
      <c r="B164" s="406" t="s">
        <v>132</v>
      </c>
      <c r="C164" s="406" t="s">
        <v>342</v>
      </c>
      <c r="D164" s="973" t="s">
        <v>12</v>
      </c>
      <c r="E164" s="406">
        <v>2</v>
      </c>
      <c r="F164" s="100" t="str">
        <f t="shared" si="56"/>
        <v>PROGRAM-12</v>
      </c>
      <c r="G164" s="100">
        <f t="shared" si="52"/>
        <v>6</v>
      </c>
      <c r="H164" s="133">
        <f t="shared" ca="1" si="59"/>
        <v>0</v>
      </c>
      <c r="I164" s="133">
        <f t="shared" ca="1" si="57"/>
        <v>0</v>
      </c>
      <c r="W164" s="983" t="str">
        <f ca="1">AB164&amp;"-"&amp;COUNTIF($AB$2:$AB164,$AB164)</f>
        <v>0-2-0-74</v>
      </c>
      <c r="X164" s="983" t="s">
        <v>342</v>
      </c>
      <c r="Y164" s="985">
        <f t="shared" ca="1" si="60"/>
        <v>0</v>
      </c>
      <c r="Z164" s="988">
        <v>2</v>
      </c>
      <c r="AA164" s="985">
        <f t="shared" ca="1" si="54"/>
        <v>0</v>
      </c>
      <c r="AB164" s="987" t="str">
        <f t="shared" ca="1" si="55"/>
        <v>0-2-0</v>
      </c>
    </row>
    <row r="165" spans="1:28" ht="15" customHeight="1" x14ac:dyDescent="0.2">
      <c r="A165" s="406" t="s">
        <v>79</v>
      </c>
      <c r="B165" s="406" t="s">
        <v>132</v>
      </c>
      <c r="C165" s="406" t="s">
        <v>343</v>
      </c>
      <c r="D165" s="973" t="s">
        <v>13</v>
      </c>
      <c r="E165" s="406">
        <v>3</v>
      </c>
      <c r="F165" s="100" t="str">
        <f t="shared" si="56"/>
        <v>PROGRAM-13</v>
      </c>
      <c r="G165" s="100">
        <f t="shared" si="52"/>
        <v>1</v>
      </c>
      <c r="H165" s="133">
        <f t="shared" ca="1" si="59"/>
        <v>0</v>
      </c>
      <c r="I165" s="133">
        <f t="shared" ca="1" si="57"/>
        <v>0</v>
      </c>
      <c r="W165" s="983" t="str">
        <f ca="1">AB165&amp;"-"&amp;COUNTIF($AB$2:$AB165,$AB165)</f>
        <v>0-3-0-34</v>
      </c>
      <c r="X165" s="983" t="s">
        <v>343</v>
      </c>
      <c r="Y165" s="985">
        <f t="shared" ca="1" si="60"/>
        <v>0</v>
      </c>
      <c r="Z165" s="988">
        <v>3</v>
      </c>
      <c r="AA165" s="985">
        <f t="shared" ca="1" si="54"/>
        <v>0</v>
      </c>
      <c r="AB165" s="987" t="str">
        <f t="shared" ca="1" si="55"/>
        <v>0-3-0</v>
      </c>
    </row>
    <row r="166" spans="1:28" ht="15" customHeight="1" x14ac:dyDescent="0.2">
      <c r="A166" s="406" t="s">
        <v>79</v>
      </c>
      <c r="B166" s="406" t="s">
        <v>135</v>
      </c>
      <c r="C166" s="406" t="s">
        <v>344</v>
      </c>
      <c r="D166" s="973" t="s">
        <v>17</v>
      </c>
      <c r="E166" s="406">
        <v>1</v>
      </c>
      <c r="F166" s="100" t="str">
        <f t="shared" si="56"/>
        <v>PROGRAM-21</v>
      </c>
      <c r="G166" s="100">
        <f t="shared" si="52"/>
        <v>1</v>
      </c>
      <c r="H166" s="133">
        <f t="shared" ca="1" si="59"/>
        <v>0</v>
      </c>
      <c r="I166" s="133">
        <f t="shared" ca="1" si="57"/>
        <v>0</v>
      </c>
      <c r="W166" s="983" t="str">
        <f ca="1">AB166&amp;"-"&amp;COUNTIF($AB$2:$AB166,$AB166)</f>
        <v>0-1-0-31</v>
      </c>
      <c r="X166" s="983" t="s">
        <v>344</v>
      </c>
      <c r="Y166" s="985">
        <f t="shared" ca="1" si="60"/>
        <v>0</v>
      </c>
      <c r="Z166" s="988">
        <v>1</v>
      </c>
      <c r="AA166" s="985">
        <f t="shared" ca="1" si="54"/>
        <v>0</v>
      </c>
      <c r="AB166" s="987" t="str">
        <f t="shared" ca="1" si="55"/>
        <v>0-1-0</v>
      </c>
    </row>
    <row r="167" spans="1:28" ht="15" customHeight="1" x14ac:dyDescent="0.2">
      <c r="A167" s="406" t="s">
        <v>79</v>
      </c>
      <c r="B167" s="406" t="s">
        <v>135</v>
      </c>
      <c r="C167" s="406" t="s">
        <v>345</v>
      </c>
      <c r="D167" s="973" t="s">
        <v>18</v>
      </c>
      <c r="E167" s="406">
        <v>2</v>
      </c>
      <c r="F167" s="100" t="str">
        <f t="shared" si="56"/>
        <v>PROGRAM-22</v>
      </c>
      <c r="G167" s="100">
        <f t="shared" si="52"/>
        <v>5</v>
      </c>
      <c r="H167" s="133">
        <f t="shared" ca="1" si="59"/>
        <v>0</v>
      </c>
      <c r="I167" s="133">
        <f t="shared" ca="1" si="57"/>
        <v>0</v>
      </c>
      <c r="W167" s="983" t="str">
        <f ca="1">AB167&amp;"-"&amp;COUNTIF($AB$2:$AB167,$AB167)</f>
        <v>0-2-0-75</v>
      </c>
      <c r="X167" s="983" t="s">
        <v>345</v>
      </c>
      <c r="Y167" s="985">
        <f t="shared" ca="1" si="60"/>
        <v>0</v>
      </c>
      <c r="Z167" s="988">
        <v>2</v>
      </c>
      <c r="AA167" s="985">
        <f t="shared" ca="1" si="54"/>
        <v>0</v>
      </c>
      <c r="AB167" s="987" t="str">
        <f t="shared" ca="1" si="55"/>
        <v>0-2-0</v>
      </c>
    </row>
    <row r="168" spans="1:28" ht="15" customHeight="1" x14ac:dyDescent="0.2">
      <c r="A168" s="406" t="s">
        <v>79</v>
      </c>
      <c r="B168" s="406" t="s">
        <v>135</v>
      </c>
      <c r="C168" s="406" t="s">
        <v>346</v>
      </c>
      <c r="D168" s="973" t="s">
        <v>19</v>
      </c>
      <c r="E168" s="406">
        <v>2</v>
      </c>
      <c r="F168" s="100" t="str">
        <f t="shared" si="56"/>
        <v>PROGRAM-22</v>
      </c>
      <c r="G168" s="100">
        <f t="shared" si="52"/>
        <v>5</v>
      </c>
      <c r="H168" s="133">
        <f t="shared" ca="1" si="59"/>
        <v>0</v>
      </c>
      <c r="I168" s="133">
        <f t="shared" ca="1" si="57"/>
        <v>0</v>
      </c>
      <c r="W168" s="983" t="str">
        <f ca="1">AB168&amp;"-"&amp;COUNTIF($AB$2:$AB168,$AB168)</f>
        <v>0-2-0-76</v>
      </c>
      <c r="X168" s="983" t="s">
        <v>346</v>
      </c>
      <c r="Y168" s="985">
        <f t="shared" ca="1" si="60"/>
        <v>0</v>
      </c>
      <c r="Z168" s="988">
        <v>2</v>
      </c>
      <c r="AA168" s="985">
        <f t="shared" ca="1" si="54"/>
        <v>0</v>
      </c>
      <c r="AB168" s="987" t="str">
        <f t="shared" ca="1" si="55"/>
        <v>0-2-0</v>
      </c>
    </row>
    <row r="169" spans="1:28" ht="15" customHeight="1" x14ac:dyDescent="0.2">
      <c r="A169" s="406" t="s">
        <v>79</v>
      </c>
      <c r="B169" s="406" t="s">
        <v>135</v>
      </c>
      <c r="C169" s="406" t="s">
        <v>347</v>
      </c>
      <c r="D169" s="973" t="s">
        <v>20</v>
      </c>
      <c r="E169" s="406">
        <v>2</v>
      </c>
      <c r="F169" s="100" t="str">
        <f t="shared" si="56"/>
        <v>PROGRAM-22</v>
      </c>
      <c r="G169" s="100">
        <f t="shared" si="52"/>
        <v>5</v>
      </c>
      <c r="H169" s="133">
        <f t="shared" ca="1" si="59"/>
        <v>0</v>
      </c>
      <c r="I169" s="133">
        <f t="shared" ca="1" si="57"/>
        <v>0</v>
      </c>
      <c r="W169" s="983" t="str">
        <f ca="1">AB169&amp;"-"&amp;COUNTIF($AB$2:$AB169,$AB169)</f>
        <v>0-2-0-77</v>
      </c>
      <c r="X169" s="983" t="s">
        <v>347</v>
      </c>
      <c r="Y169" s="985">
        <f t="shared" ca="1" si="60"/>
        <v>0</v>
      </c>
      <c r="Z169" s="988">
        <v>2</v>
      </c>
      <c r="AA169" s="985">
        <f t="shared" ca="1" si="54"/>
        <v>0</v>
      </c>
      <c r="AB169" s="987" t="str">
        <f t="shared" ca="1" si="55"/>
        <v>0-2-0</v>
      </c>
    </row>
    <row r="170" spans="1:28" ht="15" customHeight="1" x14ac:dyDescent="0.2">
      <c r="A170" s="406" t="s">
        <v>79</v>
      </c>
      <c r="B170" s="406" t="s">
        <v>135</v>
      </c>
      <c r="C170" s="406" t="s">
        <v>348</v>
      </c>
      <c r="D170" s="973" t="s">
        <v>21</v>
      </c>
      <c r="E170" s="406">
        <v>2</v>
      </c>
      <c r="F170" s="100" t="str">
        <f t="shared" si="56"/>
        <v>PROGRAM-22</v>
      </c>
      <c r="G170" s="100">
        <f t="shared" si="52"/>
        <v>5</v>
      </c>
      <c r="H170" s="133">
        <f t="shared" ca="1" si="59"/>
        <v>0</v>
      </c>
      <c r="I170" s="133">
        <f t="shared" ca="1" si="57"/>
        <v>0</v>
      </c>
      <c r="W170" s="983" t="str">
        <f ca="1">AB170&amp;"-"&amp;COUNTIF($AB$2:$AB170,$AB170)</f>
        <v>0-2-0-78</v>
      </c>
      <c r="X170" s="983" t="s">
        <v>348</v>
      </c>
      <c r="Y170" s="985">
        <f t="shared" ca="1" si="60"/>
        <v>0</v>
      </c>
      <c r="Z170" s="988">
        <v>2</v>
      </c>
      <c r="AA170" s="985">
        <f t="shared" ca="1" si="54"/>
        <v>0</v>
      </c>
      <c r="AB170" s="987" t="str">
        <f t="shared" ca="1" si="55"/>
        <v>0-2-0</v>
      </c>
    </row>
    <row r="171" spans="1:28" ht="15" customHeight="1" x14ac:dyDescent="0.2">
      <c r="A171" s="406" t="s">
        <v>79</v>
      </c>
      <c r="B171" s="406" t="s">
        <v>135</v>
      </c>
      <c r="C171" s="406" t="s">
        <v>349</v>
      </c>
      <c r="D171" s="973" t="s">
        <v>103</v>
      </c>
      <c r="E171" s="406">
        <v>2</v>
      </c>
      <c r="F171" s="100" t="str">
        <f t="shared" si="56"/>
        <v>PROGRAM-22</v>
      </c>
      <c r="G171" s="100">
        <f t="shared" si="52"/>
        <v>5</v>
      </c>
      <c r="H171" s="133">
        <f t="shared" ca="1" si="59"/>
        <v>0</v>
      </c>
      <c r="I171" s="133">
        <f t="shared" ca="1" si="57"/>
        <v>0</v>
      </c>
      <c r="W171" s="983" t="str">
        <f ca="1">AB171&amp;"-"&amp;COUNTIF($AB$2:$AB171,$AB171)</f>
        <v>0-2-0-79</v>
      </c>
      <c r="X171" s="983" t="s">
        <v>349</v>
      </c>
      <c r="Y171" s="985">
        <f t="shared" ca="1" si="60"/>
        <v>0</v>
      </c>
      <c r="Z171" s="988">
        <v>2</v>
      </c>
      <c r="AA171" s="985">
        <f t="shared" ca="1" si="54"/>
        <v>0</v>
      </c>
      <c r="AB171" s="987" t="str">
        <f t="shared" ca="1" si="55"/>
        <v>0-2-0</v>
      </c>
    </row>
    <row r="172" spans="1:28" ht="15" customHeight="1" x14ac:dyDescent="0.2">
      <c r="A172" s="406" t="s">
        <v>79</v>
      </c>
      <c r="B172" s="406" t="s">
        <v>135</v>
      </c>
      <c r="C172" s="406" t="s">
        <v>350</v>
      </c>
      <c r="D172" s="973" t="s">
        <v>165</v>
      </c>
      <c r="E172" s="406">
        <v>3</v>
      </c>
      <c r="F172" s="100" t="str">
        <f t="shared" si="56"/>
        <v>PROGRAM-23</v>
      </c>
      <c r="G172" s="100">
        <f t="shared" si="52"/>
        <v>4</v>
      </c>
      <c r="H172" s="133">
        <f t="shared" ca="1" si="59"/>
        <v>0</v>
      </c>
      <c r="I172" s="133">
        <f t="shared" ca="1" si="57"/>
        <v>0</v>
      </c>
      <c r="W172" s="983" t="str">
        <f ca="1">AB172&amp;"-"&amp;COUNTIF($AB$2:$AB172,$AB172)</f>
        <v>0-3-0-35</v>
      </c>
      <c r="X172" s="983" t="s">
        <v>350</v>
      </c>
      <c r="Y172" s="985">
        <f t="shared" ca="1" si="60"/>
        <v>0</v>
      </c>
      <c r="Z172" s="988">
        <v>3</v>
      </c>
      <c r="AA172" s="985">
        <f t="shared" ca="1" si="54"/>
        <v>0</v>
      </c>
      <c r="AB172" s="987" t="str">
        <f t="shared" ca="1" si="55"/>
        <v>0-3-0</v>
      </c>
    </row>
    <row r="173" spans="1:28" ht="15" customHeight="1" x14ac:dyDescent="0.2">
      <c r="A173" s="406" t="s">
        <v>79</v>
      </c>
      <c r="B173" s="406" t="s">
        <v>135</v>
      </c>
      <c r="C173" s="406" t="s">
        <v>351</v>
      </c>
      <c r="D173" s="973" t="s">
        <v>167</v>
      </c>
      <c r="E173" s="406">
        <v>3</v>
      </c>
      <c r="F173" s="100" t="str">
        <f t="shared" si="56"/>
        <v>PROGRAM-23</v>
      </c>
      <c r="G173" s="100">
        <f t="shared" si="52"/>
        <v>4</v>
      </c>
      <c r="H173" s="133">
        <f t="shared" ca="1" si="59"/>
        <v>0</v>
      </c>
      <c r="I173" s="133">
        <f t="shared" ca="1" si="57"/>
        <v>0</v>
      </c>
      <c r="W173" s="983" t="str">
        <f ca="1">AB173&amp;"-"&amp;COUNTIF($AB$2:$AB173,$AB173)</f>
        <v>0-3-0-36</v>
      </c>
      <c r="X173" s="983" t="s">
        <v>351</v>
      </c>
      <c r="Y173" s="985">
        <f t="shared" ca="1" si="60"/>
        <v>0</v>
      </c>
      <c r="Z173" s="988">
        <v>3</v>
      </c>
      <c r="AA173" s="985">
        <f t="shared" ca="1" si="54"/>
        <v>0</v>
      </c>
      <c r="AB173" s="987" t="str">
        <f t="shared" ca="1" si="55"/>
        <v>0-3-0</v>
      </c>
    </row>
    <row r="174" spans="1:28" ht="15" customHeight="1" x14ac:dyDescent="0.2">
      <c r="A174" s="406" t="s">
        <v>79</v>
      </c>
      <c r="B174" s="406" t="s">
        <v>135</v>
      </c>
      <c r="C174" s="406" t="s">
        <v>352</v>
      </c>
      <c r="D174" s="973" t="s">
        <v>198</v>
      </c>
      <c r="E174" s="406">
        <v>3</v>
      </c>
      <c r="F174" s="100" t="str">
        <f t="shared" si="56"/>
        <v>PROGRAM-23</v>
      </c>
      <c r="G174" s="100">
        <f t="shared" si="52"/>
        <v>4</v>
      </c>
      <c r="H174" s="133">
        <f t="shared" ca="1" si="59"/>
        <v>0</v>
      </c>
      <c r="I174" s="133">
        <f t="shared" ca="1" si="57"/>
        <v>0</v>
      </c>
      <c r="W174" s="983" t="str">
        <f ca="1">AB174&amp;"-"&amp;COUNTIF($AB$2:$AB174,$AB174)</f>
        <v>0-3-0-37</v>
      </c>
      <c r="X174" s="983" t="s">
        <v>352</v>
      </c>
      <c r="Y174" s="985">
        <f t="shared" ca="1" si="60"/>
        <v>0</v>
      </c>
      <c r="Z174" s="988">
        <v>3</v>
      </c>
      <c r="AA174" s="985">
        <f t="shared" ca="1" si="54"/>
        <v>0</v>
      </c>
      <c r="AB174" s="987" t="str">
        <f t="shared" ca="1" si="55"/>
        <v>0-3-0</v>
      </c>
    </row>
    <row r="175" spans="1:28" ht="15" customHeight="1" x14ac:dyDescent="0.2">
      <c r="A175" s="406" t="s">
        <v>79</v>
      </c>
      <c r="B175" s="406" t="s">
        <v>135</v>
      </c>
      <c r="C175" s="406" t="s">
        <v>353</v>
      </c>
      <c r="D175" s="973" t="s">
        <v>200</v>
      </c>
      <c r="E175" s="406">
        <v>3</v>
      </c>
      <c r="F175" s="100" t="str">
        <f t="shared" si="56"/>
        <v>PROGRAM-23</v>
      </c>
      <c r="G175" s="100">
        <f t="shared" si="52"/>
        <v>4</v>
      </c>
      <c r="H175" s="133">
        <f t="shared" ca="1" si="59"/>
        <v>0</v>
      </c>
      <c r="I175" s="133">
        <f t="shared" ca="1" si="57"/>
        <v>0</v>
      </c>
      <c r="W175" s="983" t="str">
        <f ca="1">AB175&amp;"-"&amp;COUNTIF($AB$2:$AB175,$AB175)</f>
        <v>0-3-0-38</v>
      </c>
      <c r="X175" s="983" t="s">
        <v>353</v>
      </c>
      <c r="Y175" s="985">
        <f t="shared" ca="1" si="60"/>
        <v>0</v>
      </c>
      <c r="Z175" s="988">
        <v>3</v>
      </c>
      <c r="AA175" s="985">
        <f t="shared" ca="1" si="54"/>
        <v>0</v>
      </c>
      <c r="AB175" s="987" t="str">
        <f t="shared" ca="1" si="55"/>
        <v>0-3-0</v>
      </c>
    </row>
    <row r="176" spans="1:28" ht="15" customHeight="1" x14ac:dyDescent="0.2">
      <c r="A176" s="406" t="s">
        <v>79</v>
      </c>
      <c r="B176" s="406" t="s">
        <v>138</v>
      </c>
      <c r="C176" s="406" t="s">
        <v>355</v>
      </c>
      <c r="D176" s="973" t="s">
        <v>22</v>
      </c>
      <c r="E176" s="406">
        <v>2</v>
      </c>
      <c r="F176" s="100" t="str">
        <f t="shared" si="56"/>
        <v>PROGRAM-32</v>
      </c>
      <c r="G176" s="100">
        <f t="shared" si="52"/>
        <v>2</v>
      </c>
      <c r="H176" s="133">
        <f t="shared" ca="1" si="59"/>
        <v>0</v>
      </c>
      <c r="I176" s="133">
        <f t="shared" ca="1" si="57"/>
        <v>0</v>
      </c>
      <c r="W176" s="983" t="str">
        <f ca="1">AB176&amp;"-"&amp;COUNTIF($AB$2:$AB176,$AB176)</f>
        <v>1-2-0-10</v>
      </c>
      <c r="X176" s="983" t="s">
        <v>355</v>
      </c>
      <c r="Y176" s="985">
        <f t="shared" ca="1" si="60"/>
        <v>1</v>
      </c>
      <c r="Z176" s="988">
        <v>2</v>
      </c>
      <c r="AA176" s="985">
        <f t="shared" ca="1" si="54"/>
        <v>0</v>
      </c>
      <c r="AB176" s="987" t="str">
        <f t="shared" ca="1" si="55"/>
        <v>1-2-0</v>
      </c>
    </row>
    <row r="177" spans="1:28" ht="15" customHeight="1" x14ac:dyDescent="0.2">
      <c r="A177" s="406" t="s">
        <v>79</v>
      </c>
      <c r="B177" s="406" t="s">
        <v>138</v>
      </c>
      <c r="C177" s="406" t="s">
        <v>356</v>
      </c>
      <c r="D177" s="973" t="s">
        <v>23</v>
      </c>
      <c r="E177" s="406">
        <v>2</v>
      </c>
      <c r="F177" s="100" t="str">
        <f t="shared" si="56"/>
        <v>PROGRAM-32</v>
      </c>
      <c r="G177" s="100">
        <f t="shared" si="52"/>
        <v>2</v>
      </c>
      <c r="H177" s="133">
        <f t="shared" ca="1" si="59"/>
        <v>0</v>
      </c>
      <c r="I177" s="133">
        <f t="shared" ca="1" si="57"/>
        <v>0</v>
      </c>
      <c r="W177" s="983" t="str">
        <f ca="1">AB177&amp;"-"&amp;COUNTIF($AB$2:$AB177,$AB177)</f>
        <v>1-2-0-11</v>
      </c>
      <c r="X177" s="983" t="s">
        <v>356</v>
      </c>
      <c r="Y177" s="985">
        <f t="shared" ca="1" si="60"/>
        <v>1</v>
      </c>
      <c r="Z177" s="988">
        <v>2</v>
      </c>
      <c r="AA177" s="985">
        <f t="shared" ca="1" si="54"/>
        <v>0</v>
      </c>
      <c r="AB177" s="987" t="str">
        <f t="shared" ca="1" si="55"/>
        <v>1-2-0</v>
      </c>
    </row>
    <row r="178" spans="1:28" ht="15" customHeight="1" x14ac:dyDescent="0.2">
      <c r="A178" s="406" t="s">
        <v>79</v>
      </c>
      <c r="B178" s="406" t="s">
        <v>138</v>
      </c>
      <c r="C178" s="406" t="s">
        <v>357</v>
      </c>
      <c r="D178" s="973" t="s">
        <v>24</v>
      </c>
      <c r="E178" s="406">
        <v>3</v>
      </c>
      <c r="F178" s="100" t="str">
        <f t="shared" si="56"/>
        <v>PROGRAM-33</v>
      </c>
      <c r="G178" s="100">
        <f t="shared" si="52"/>
        <v>4</v>
      </c>
      <c r="H178" s="133">
        <f t="shared" ca="1" si="59"/>
        <v>0</v>
      </c>
      <c r="I178" s="133">
        <f t="shared" ca="1" si="57"/>
        <v>0</v>
      </c>
      <c r="W178" s="983" t="str">
        <f ca="1">AB178&amp;"-"&amp;COUNTIF($AB$2:$AB178,$AB178)</f>
        <v>1-3-0-18</v>
      </c>
      <c r="X178" s="983" t="s">
        <v>357</v>
      </c>
      <c r="Y178" s="985">
        <f t="shared" ca="1" si="60"/>
        <v>1</v>
      </c>
      <c r="Z178" s="988">
        <v>3</v>
      </c>
      <c r="AA178" s="985">
        <f t="shared" ca="1" si="54"/>
        <v>0</v>
      </c>
      <c r="AB178" s="987" t="str">
        <f t="shared" ca="1" si="55"/>
        <v>1-3-0</v>
      </c>
    </row>
    <row r="179" spans="1:28" ht="15" customHeight="1" x14ac:dyDescent="0.2">
      <c r="A179" s="406" t="s">
        <v>79</v>
      </c>
      <c r="B179" s="406" t="s">
        <v>138</v>
      </c>
      <c r="C179" s="406" t="s">
        <v>358</v>
      </c>
      <c r="D179" s="973" t="s">
        <v>25</v>
      </c>
      <c r="E179" s="406">
        <v>3</v>
      </c>
      <c r="F179" s="100" t="str">
        <f t="shared" si="56"/>
        <v>PROGRAM-33</v>
      </c>
      <c r="G179" s="100">
        <f t="shared" si="52"/>
        <v>4</v>
      </c>
      <c r="H179" s="133">
        <f t="shared" ca="1" si="59"/>
        <v>0</v>
      </c>
      <c r="I179" s="133">
        <f t="shared" ca="1" si="57"/>
        <v>0</v>
      </c>
      <c r="W179" s="983" t="str">
        <f ca="1">AB179&amp;"-"&amp;COUNTIF($AB$2:$AB179,$AB179)</f>
        <v>1-3-0-19</v>
      </c>
      <c r="X179" s="983" t="s">
        <v>358</v>
      </c>
      <c r="Y179" s="985">
        <f t="shared" ca="1" si="60"/>
        <v>1</v>
      </c>
      <c r="Z179" s="988">
        <v>3</v>
      </c>
      <c r="AA179" s="985">
        <f t="shared" ca="1" si="54"/>
        <v>0</v>
      </c>
      <c r="AB179" s="987" t="str">
        <f t="shared" ca="1" si="55"/>
        <v>1-3-0</v>
      </c>
    </row>
    <row r="180" spans="1:28" ht="15" customHeight="1" x14ac:dyDescent="0.2">
      <c r="A180" s="406" t="s">
        <v>79</v>
      </c>
      <c r="B180" s="406" t="s">
        <v>138</v>
      </c>
      <c r="C180" s="406" t="s">
        <v>359</v>
      </c>
      <c r="D180" s="973" t="s">
        <v>26</v>
      </c>
      <c r="E180" s="406">
        <v>3</v>
      </c>
      <c r="F180" s="100" t="str">
        <f t="shared" si="56"/>
        <v>PROGRAM-33</v>
      </c>
      <c r="G180" s="100">
        <f t="shared" si="52"/>
        <v>4</v>
      </c>
      <c r="H180" s="133">
        <f t="shared" ca="1" si="59"/>
        <v>0</v>
      </c>
      <c r="I180" s="133">
        <f t="shared" ca="1" si="57"/>
        <v>0</v>
      </c>
      <c r="W180" s="983" t="str">
        <f ca="1">AB180&amp;"-"&amp;COUNTIF($AB$2:$AB180,$AB180)</f>
        <v>1-3-0-20</v>
      </c>
      <c r="X180" s="983" t="s">
        <v>359</v>
      </c>
      <c r="Y180" s="985">
        <f t="shared" ca="1" si="60"/>
        <v>1</v>
      </c>
      <c r="Z180" s="988">
        <v>3</v>
      </c>
      <c r="AA180" s="985">
        <f t="shared" ca="1" si="54"/>
        <v>0</v>
      </c>
      <c r="AB180" s="987" t="str">
        <f t="shared" ca="1" si="55"/>
        <v>1-3-0</v>
      </c>
    </row>
    <row r="181" spans="1:28" ht="15" customHeight="1" x14ac:dyDescent="0.2">
      <c r="A181" s="406" t="s">
        <v>79</v>
      </c>
      <c r="B181" s="406" t="s">
        <v>138</v>
      </c>
      <c r="C181" s="406" t="s">
        <v>360</v>
      </c>
      <c r="D181" s="973" t="s">
        <v>27</v>
      </c>
      <c r="E181" s="406">
        <v>3</v>
      </c>
      <c r="F181" s="100" t="str">
        <f t="shared" si="56"/>
        <v>PROGRAM-33</v>
      </c>
      <c r="G181" s="100">
        <f t="shared" si="52"/>
        <v>4</v>
      </c>
      <c r="H181" s="133">
        <f t="shared" ca="1" si="59"/>
        <v>0</v>
      </c>
      <c r="I181" s="133">
        <f t="shared" ca="1" si="57"/>
        <v>0</v>
      </c>
      <c r="W181" s="983" t="str">
        <f ca="1">AB181&amp;"-"&amp;COUNTIF($AB$2:$AB181,$AB181)</f>
        <v>0-3-0-39</v>
      </c>
      <c r="X181" s="983" t="s">
        <v>360</v>
      </c>
      <c r="Y181" s="985">
        <v>0</v>
      </c>
      <c r="Z181" s="988">
        <v>3</v>
      </c>
      <c r="AA181" s="985">
        <f t="shared" ca="1" si="54"/>
        <v>0</v>
      </c>
      <c r="AB181" s="987" t="str">
        <f ca="1">Y181&amp;"-"&amp;Z181&amp;"-"&amp;AA181</f>
        <v>0-3-0</v>
      </c>
    </row>
    <row r="182" spans="1:28" ht="15" customHeight="1" x14ac:dyDescent="0.2">
      <c r="A182" s="130" t="s">
        <v>69</v>
      </c>
      <c r="B182" s="130" t="s">
        <v>90</v>
      </c>
      <c r="C182" s="130" t="s">
        <v>240</v>
      </c>
      <c r="D182" s="974" t="s">
        <v>5</v>
      </c>
      <c r="E182" s="130">
        <v>1</v>
      </c>
      <c r="F182" s="100" t="str">
        <f t="shared" si="56"/>
        <v>RESPONSE-11</v>
      </c>
      <c r="G182" s="100">
        <f t="shared" si="52"/>
        <v>1</v>
      </c>
      <c r="H182" s="133">
        <f ca="1">INT(LEFT(
VLOOKUP($D182, INDIRECT("'"&amp;$A182&amp;"'!"&amp;"$D:$G"), 4,FALSE), 1)
)</f>
        <v>0</v>
      </c>
      <c r="I182" s="133">
        <f t="shared" ca="1" si="57"/>
        <v>0</v>
      </c>
      <c r="W182" s="983" t="str">
        <f ca="1">AB182&amp;"-"&amp;COUNTIF($AB$2:$AB182,$AB182)</f>
        <v>0-1-0-32</v>
      </c>
      <c r="X182" s="983" t="s">
        <v>240</v>
      </c>
      <c r="Y182" s="985">
        <f t="shared" ref="Y182:Y213" ca="1" si="61">VLOOKUP(LEFT($X182,LEN($X182)-1),$K:$O,5,FALSE)</f>
        <v>0</v>
      </c>
      <c r="Z182" s="988">
        <v>1</v>
      </c>
      <c r="AA182" s="985">
        <f t="shared" ca="1" si="54"/>
        <v>0</v>
      </c>
      <c r="AB182" s="987" t="str">
        <f t="shared" ca="1" si="55"/>
        <v>0-1-0</v>
      </c>
    </row>
    <row r="183" spans="1:28" ht="15" customHeight="1" x14ac:dyDescent="0.2">
      <c r="A183" s="130" t="s">
        <v>69</v>
      </c>
      <c r="B183" s="130" t="s">
        <v>90</v>
      </c>
      <c r="C183" s="130" t="s">
        <v>241</v>
      </c>
      <c r="D183" s="974" t="s">
        <v>7</v>
      </c>
      <c r="E183" s="130">
        <v>2</v>
      </c>
      <c r="F183" s="100" t="str">
        <f t="shared" si="56"/>
        <v>RESPONSE-12</v>
      </c>
      <c r="G183" s="100">
        <f t="shared" si="52"/>
        <v>2</v>
      </c>
      <c r="H183" s="133">
        <f t="shared" ca="1" si="58"/>
        <v>0</v>
      </c>
      <c r="I183" s="133">
        <f t="shared" ca="1" si="57"/>
        <v>0</v>
      </c>
      <c r="W183" s="983" t="str">
        <f ca="1">AB183&amp;"-"&amp;COUNTIF($AB$2:$AB183,$AB183)</f>
        <v>0-2-0-80</v>
      </c>
      <c r="X183" s="983" t="s">
        <v>241</v>
      </c>
      <c r="Y183" s="985">
        <f t="shared" ca="1" si="61"/>
        <v>0</v>
      </c>
      <c r="Z183" s="988">
        <v>2</v>
      </c>
      <c r="AA183" s="985">
        <f t="shared" ca="1" si="54"/>
        <v>0</v>
      </c>
      <c r="AB183" s="987" t="str">
        <f t="shared" ca="1" si="55"/>
        <v>0-2-0</v>
      </c>
    </row>
    <row r="184" spans="1:28" ht="15" customHeight="1" x14ac:dyDescent="0.2">
      <c r="A184" s="130" t="s">
        <v>69</v>
      </c>
      <c r="B184" s="130" t="s">
        <v>90</v>
      </c>
      <c r="C184" s="130" t="s">
        <v>242</v>
      </c>
      <c r="D184" s="974" t="s">
        <v>8</v>
      </c>
      <c r="E184" s="130">
        <v>2</v>
      </c>
      <c r="F184" s="100" t="str">
        <f t="shared" si="56"/>
        <v>RESPONSE-12</v>
      </c>
      <c r="G184" s="100">
        <f t="shared" si="52"/>
        <v>2</v>
      </c>
      <c r="H184" s="133">
        <f t="shared" ca="1" si="58"/>
        <v>0</v>
      </c>
      <c r="I184" s="133">
        <f t="shared" ca="1" si="57"/>
        <v>0</v>
      </c>
      <c r="W184" s="983" t="str">
        <f ca="1">AB184&amp;"-"&amp;COUNTIF($AB$2:$AB184,$AB184)</f>
        <v>0-2-0-81</v>
      </c>
      <c r="X184" s="983" t="s">
        <v>242</v>
      </c>
      <c r="Y184" s="985">
        <f t="shared" ca="1" si="61"/>
        <v>0</v>
      </c>
      <c r="Z184" s="988">
        <v>2</v>
      </c>
      <c r="AA184" s="985">
        <f t="shared" ca="1" si="54"/>
        <v>0</v>
      </c>
      <c r="AB184" s="987" t="str">
        <f t="shared" ca="1" si="55"/>
        <v>0-2-0</v>
      </c>
    </row>
    <row r="185" spans="1:28" ht="15" customHeight="1" x14ac:dyDescent="0.2">
      <c r="A185" s="130" t="s">
        <v>69</v>
      </c>
      <c r="B185" s="130" t="s">
        <v>90</v>
      </c>
      <c r="C185" s="130" t="s">
        <v>243</v>
      </c>
      <c r="D185" s="974" t="s">
        <v>9</v>
      </c>
      <c r="E185" s="130">
        <v>3</v>
      </c>
      <c r="F185" s="100" t="str">
        <f t="shared" si="56"/>
        <v>RESPONSE-13</v>
      </c>
      <c r="G185" s="100">
        <f t="shared" si="52"/>
        <v>3</v>
      </c>
      <c r="H185" s="133">
        <f t="shared" ca="1" si="58"/>
        <v>0</v>
      </c>
      <c r="I185" s="133">
        <f t="shared" ca="1" si="57"/>
        <v>0</v>
      </c>
      <c r="W185" s="983" t="str">
        <f ca="1">AB185&amp;"-"&amp;COUNTIF($AB$2:$AB185,$AB185)</f>
        <v>0-3-0-40</v>
      </c>
      <c r="X185" s="983" t="s">
        <v>243</v>
      </c>
      <c r="Y185" s="985">
        <f t="shared" ca="1" si="61"/>
        <v>0</v>
      </c>
      <c r="Z185" s="988">
        <v>3</v>
      </c>
      <c r="AA185" s="985">
        <f t="shared" ca="1" si="54"/>
        <v>0</v>
      </c>
      <c r="AB185" s="987" t="str">
        <f t="shared" ca="1" si="55"/>
        <v>0-3-0</v>
      </c>
    </row>
    <row r="186" spans="1:28" ht="15" customHeight="1" x14ac:dyDescent="0.2">
      <c r="A186" s="130" t="s">
        <v>69</v>
      </c>
      <c r="B186" s="130" t="s">
        <v>90</v>
      </c>
      <c r="C186" s="130" t="s">
        <v>244</v>
      </c>
      <c r="D186" s="974" t="s">
        <v>10</v>
      </c>
      <c r="E186" s="130">
        <v>3</v>
      </c>
      <c r="F186" s="100" t="str">
        <f t="shared" si="56"/>
        <v>RESPONSE-13</v>
      </c>
      <c r="G186" s="100">
        <f t="shared" si="52"/>
        <v>3</v>
      </c>
      <c r="H186" s="133">
        <f t="shared" ca="1" si="58"/>
        <v>0</v>
      </c>
      <c r="I186" s="133">
        <f t="shared" ca="1" si="57"/>
        <v>0</v>
      </c>
      <c r="W186" s="983" t="str">
        <f ca="1">AB186&amp;"-"&amp;COUNTIF($AB$2:$AB186,$AB186)</f>
        <v>0-3-0-41</v>
      </c>
      <c r="X186" s="983" t="s">
        <v>244</v>
      </c>
      <c r="Y186" s="985">
        <f t="shared" ca="1" si="61"/>
        <v>0</v>
      </c>
      <c r="Z186" s="988">
        <v>3</v>
      </c>
      <c r="AA186" s="985">
        <f t="shared" ca="1" si="54"/>
        <v>0</v>
      </c>
      <c r="AB186" s="987" t="str">
        <f t="shared" ca="1" si="55"/>
        <v>0-3-0</v>
      </c>
    </row>
    <row r="187" spans="1:28" ht="15" customHeight="1" x14ac:dyDescent="0.2">
      <c r="A187" s="130" t="s">
        <v>69</v>
      </c>
      <c r="B187" s="130" t="s">
        <v>90</v>
      </c>
      <c r="C187" s="130" t="s">
        <v>245</v>
      </c>
      <c r="D187" s="974" t="s">
        <v>11</v>
      </c>
      <c r="E187" s="130">
        <v>3</v>
      </c>
      <c r="F187" s="100" t="str">
        <f t="shared" si="56"/>
        <v>RESPONSE-13</v>
      </c>
      <c r="G187" s="100">
        <f t="shared" si="52"/>
        <v>3</v>
      </c>
      <c r="H187" s="133">
        <f t="shared" ca="1" si="58"/>
        <v>0</v>
      </c>
      <c r="I187" s="133">
        <f t="shared" ca="1" si="57"/>
        <v>0</v>
      </c>
      <c r="W187" s="983" t="str">
        <f ca="1">AB187&amp;"-"&amp;COUNTIF($AB$2:$AB187,$AB187)</f>
        <v>0-3-0-42</v>
      </c>
      <c r="X187" s="983" t="s">
        <v>245</v>
      </c>
      <c r="Y187" s="985">
        <f t="shared" ca="1" si="61"/>
        <v>0</v>
      </c>
      <c r="Z187" s="988">
        <v>3</v>
      </c>
      <c r="AA187" s="985">
        <f t="shared" ca="1" si="54"/>
        <v>0</v>
      </c>
      <c r="AB187" s="987" t="str">
        <f t="shared" ca="1" si="55"/>
        <v>0-3-0</v>
      </c>
    </row>
    <row r="188" spans="1:28" ht="15" customHeight="1" x14ac:dyDescent="0.2">
      <c r="A188" s="130" t="s">
        <v>69</v>
      </c>
      <c r="B188" s="130" t="s">
        <v>92</v>
      </c>
      <c r="C188" s="130" t="s">
        <v>246</v>
      </c>
      <c r="D188" s="974" t="s">
        <v>17</v>
      </c>
      <c r="E188" s="130">
        <v>1</v>
      </c>
      <c r="F188" s="100" t="str">
        <f t="shared" si="56"/>
        <v>RESPONSE-21</v>
      </c>
      <c r="G188" s="100">
        <f t="shared" si="52"/>
        <v>2</v>
      </c>
      <c r="H188" s="133">
        <f t="shared" ca="1" si="58"/>
        <v>0</v>
      </c>
      <c r="I188" s="133">
        <f t="shared" ca="1" si="57"/>
        <v>0</v>
      </c>
      <c r="W188" s="983" t="str">
        <f ca="1">AB188&amp;"-"&amp;COUNTIF($AB$2:$AB188,$AB188)</f>
        <v>0-1-0-33</v>
      </c>
      <c r="X188" s="983" t="s">
        <v>246</v>
      </c>
      <c r="Y188" s="985">
        <f t="shared" ca="1" si="61"/>
        <v>0</v>
      </c>
      <c r="Z188" s="988">
        <v>1</v>
      </c>
      <c r="AA188" s="985">
        <f t="shared" ca="1" si="54"/>
        <v>0</v>
      </c>
      <c r="AB188" s="987" t="str">
        <f t="shared" ca="1" si="55"/>
        <v>0-1-0</v>
      </c>
    </row>
    <row r="189" spans="1:28" ht="15" customHeight="1" x14ac:dyDescent="0.2">
      <c r="A189" s="130" t="s">
        <v>69</v>
      </c>
      <c r="B189" s="130" t="s">
        <v>92</v>
      </c>
      <c r="C189" s="130" t="s">
        <v>247</v>
      </c>
      <c r="D189" s="974" t="s">
        <v>18</v>
      </c>
      <c r="E189" s="130">
        <v>1</v>
      </c>
      <c r="F189" s="100" t="str">
        <f t="shared" si="56"/>
        <v>RESPONSE-21</v>
      </c>
      <c r="G189" s="100">
        <f t="shared" si="52"/>
        <v>2</v>
      </c>
      <c r="H189" s="133">
        <f t="shared" ca="1" si="58"/>
        <v>0</v>
      </c>
      <c r="I189" s="133">
        <f t="shared" ca="1" si="57"/>
        <v>0</v>
      </c>
      <c r="W189" s="983" t="str">
        <f ca="1">AB189&amp;"-"&amp;COUNTIF($AB$2:$AB189,$AB189)</f>
        <v>0-1-0-34</v>
      </c>
      <c r="X189" s="983" t="s">
        <v>247</v>
      </c>
      <c r="Y189" s="985">
        <f t="shared" ca="1" si="61"/>
        <v>0</v>
      </c>
      <c r="Z189" s="988">
        <v>1</v>
      </c>
      <c r="AA189" s="985">
        <f t="shared" ca="1" si="54"/>
        <v>0</v>
      </c>
      <c r="AB189" s="987" t="str">
        <f t="shared" ca="1" si="55"/>
        <v>0-1-0</v>
      </c>
    </row>
    <row r="190" spans="1:28" ht="15" customHeight="1" x14ac:dyDescent="0.2">
      <c r="A190" s="130" t="s">
        <v>69</v>
      </c>
      <c r="B190" s="130" t="s">
        <v>92</v>
      </c>
      <c r="C190" s="130" t="s">
        <v>248</v>
      </c>
      <c r="D190" s="974" t="s">
        <v>19</v>
      </c>
      <c r="E190" s="130">
        <v>2</v>
      </c>
      <c r="F190" s="100" t="str">
        <f t="shared" si="56"/>
        <v>RESPONSE-22</v>
      </c>
      <c r="G190" s="100">
        <f t="shared" si="52"/>
        <v>5</v>
      </c>
      <c r="H190" s="133">
        <f t="shared" ca="1" si="58"/>
        <v>0</v>
      </c>
      <c r="I190" s="133">
        <f t="shared" ca="1" si="57"/>
        <v>0</v>
      </c>
      <c r="W190" s="983" t="str">
        <f ca="1">AB190&amp;"-"&amp;COUNTIF($AB$2:$AB190,$AB190)</f>
        <v>0-2-0-82</v>
      </c>
      <c r="X190" s="983" t="s">
        <v>248</v>
      </c>
      <c r="Y190" s="985">
        <f t="shared" ca="1" si="61"/>
        <v>0</v>
      </c>
      <c r="Z190" s="988">
        <v>2</v>
      </c>
      <c r="AA190" s="985">
        <f t="shared" ca="1" si="54"/>
        <v>0</v>
      </c>
      <c r="AB190" s="987" t="str">
        <f t="shared" ca="1" si="55"/>
        <v>0-2-0</v>
      </c>
    </row>
    <row r="191" spans="1:28" ht="15" customHeight="1" x14ac:dyDescent="0.2">
      <c r="A191" s="130" t="s">
        <v>69</v>
      </c>
      <c r="B191" s="130" t="s">
        <v>92</v>
      </c>
      <c r="C191" s="130" t="s">
        <v>249</v>
      </c>
      <c r="D191" s="974" t="s">
        <v>20</v>
      </c>
      <c r="E191" s="130">
        <v>2</v>
      </c>
      <c r="F191" s="100" t="str">
        <f t="shared" si="56"/>
        <v>RESPONSE-22</v>
      </c>
      <c r="G191" s="100">
        <f t="shared" si="52"/>
        <v>5</v>
      </c>
      <c r="H191" s="133">
        <f t="shared" ca="1" si="58"/>
        <v>0</v>
      </c>
      <c r="I191" s="133">
        <f t="shared" ca="1" si="57"/>
        <v>0</v>
      </c>
      <c r="W191" s="983" t="str">
        <f ca="1">AB191&amp;"-"&amp;COUNTIF($AB$2:$AB191,$AB191)</f>
        <v>0-2-0-83</v>
      </c>
      <c r="X191" s="983" t="s">
        <v>249</v>
      </c>
      <c r="Y191" s="985">
        <f t="shared" ca="1" si="61"/>
        <v>0</v>
      </c>
      <c r="Z191" s="988">
        <v>2</v>
      </c>
      <c r="AA191" s="985">
        <f t="shared" ca="1" si="54"/>
        <v>0</v>
      </c>
      <c r="AB191" s="987" t="str">
        <f t="shared" ca="1" si="55"/>
        <v>0-2-0</v>
      </c>
    </row>
    <row r="192" spans="1:28" ht="15" customHeight="1" x14ac:dyDescent="0.2">
      <c r="A192" s="130" t="s">
        <v>69</v>
      </c>
      <c r="B192" s="130" t="s">
        <v>92</v>
      </c>
      <c r="C192" s="130" t="s">
        <v>250</v>
      </c>
      <c r="D192" s="974" t="s">
        <v>21</v>
      </c>
      <c r="E192" s="130">
        <v>2</v>
      </c>
      <c r="F192" s="100" t="str">
        <f t="shared" si="56"/>
        <v>RESPONSE-22</v>
      </c>
      <c r="G192" s="100">
        <f t="shared" si="52"/>
        <v>5</v>
      </c>
      <c r="H192" s="133">
        <f t="shared" ca="1" si="58"/>
        <v>0</v>
      </c>
      <c r="I192" s="133">
        <f t="shared" ca="1" si="57"/>
        <v>0</v>
      </c>
      <c r="W192" s="983" t="str">
        <f ca="1">AB192&amp;"-"&amp;COUNTIF($AB$2:$AB192,$AB192)</f>
        <v>0-2-0-84</v>
      </c>
      <c r="X192" s="983" t="s">
        <v>250</v>
      </c>
      <c r="Y192" s="985">
        <f t="shared" ca="1" si="61"/>
        <v>0</v>
      </c>
      <c r="Z192" s="988">
        <v>2</v>
      </c>
      <c r="AA192" s="985">
        <f t="shared" ca="1" si="54"/>
        <v>0</v>
      </c>
      <c r="AB192" s="987" t="str">
        <f t="shared" ca="1" si="55"/>
        <v>0-2-0</v>
      </c>
    </row>
    <row r="193" spans="1:28" ht="15" customHeight="1" x14ac:dyDescent="0.2">
      <c r="A193" s="130" t="s">
        <v>69</v>
      </c>
      <c r="B193" s="130" t="s">
        <v>92</v>
      </c>
      <c r="C193" s="130" t="s">
        <v>251</v>
      </c>
      <c r="D193" s="974" t="s">
        <v>103</v>
      </c>
      <c r="E193" s="130">
        <v>2</v>
      </c>
      <c r="F193" s="100" t="str">
        <f t="shared" si="56"/>
        <v>RESPONSE-22</v>
      </c>
      <c r="G193" s="100">
        <f t="shared" si="52"/>
        <v>5</v>
      </c>
      <c r="H193" s="133">
        <f t="shared" ca="1" si="58"/>
        <v>0</v>
      </c>
      <c r="I193" s="133">
        <f t="shared" ca="1" si="57"/>
        <v>0</v>
      </c>
      <c r="W193" s="983" t="str">
        <f ca="1">AB193&amp;"-"&amp;COUNTIF($AB$2:$AB193,$AB193)</f>
        <v>0-2-0-85</v>
      </c>
      <c r="X193" s="983" t="s">
        <v>251</v>
      </c>
      <c r="Y193" s="985">
        <f t="shared" ca="1" si="61"/>
        <v>0</v>
      </c>
      <c r="Z193" s="988">
        <v>2</v>
      </c>
      <c r="AA193" s="985">
        <f t="shared" ca="1" si="54"/>
        <v>0</v>
      </c>
      <c r="AB193" s="987" t="str">
        <f t="shared" ca="1" si="55"/>
        <v>0-2-0</v>
      </c>
    </row>
    <row r="194" spans="1:28" ht="15" customHeight="1" x14ac:dyDescent="0.2">
      <c r="A194" s="130" t="s">
        <v>69</v>
      </c>
      <c r="B194" s="130" t="s">
        <v>92</v>
      </c>
      <c r="C194" s="130" t="s">
        <v>252</v>
      </c>
      <c r="D194" s="974" t="s">
        <v>165</v>
      </c>
      <c r="E194" s="130">
        <v>2</v>
      </c>
      <c r="F194" s="100" t="str">
        <f t="shared" si="56"/>
        <v>RESPONSE-22</v>
      </c>
      <c r="G194" s="100">
        <f t="shared" ref="G194:G257" si="62">COUNTIF($F:$F,$F194)</f>
        <v>5</v>
      </c>
      <c r="H194" s="133">
        <f t="shared" ca="1" si="58"/>
        <v>0</v>
      </c>
      <c r="I194" s="133">
        <f t="shared" ca="1" si="57"/>
        <v>0</v>
      </c>
      <c r="W194" s="983" t="str">
        <f ca="1">AB194&amp;"-"&amp;COUNTIF($AB$2:$AB194,$AB194)</f>
        <v>0-2-0-86</v>
      </c>
      <c r="X194" s="983" t="s">
        <v>252</v>
      </c>
      <c r="Y194" s="985">
        <f t="shared" ca="1" si="61"/>
        <v>0</v>
      </c>
      <c r="Z194" s="988">
        <v>2</v>
      </c>
      <c r="AA194" s="985">
        <f t="shared" ref="AA194:AA257" ca="1" si="63">VLOOKUP(X194,C:I,7,FALSE)</f>
        <v>0</v>
      </c>
      <c r="AB194" s="987" t="str">
        <f t="shared" ca="1" si="55"/>
        <v>0-2-0</v>
      </c>
    </row>
    <row r="195" spans="1:28" ht="15" customHeight="1" x14ac:dyDescent="0.2">
      <c r="A195" s="130" t="s">
        <v>69</v>
      </c>
      <c r="B195" s="130" t="s">
        <v>92</v>
      </c>
      <c r="C195" s="130" t="s">
        <v>253</v>
      </c>
      <c r="D195" s="974" t="s">
        <v>167</v>
      </c>
      <c r="E195" s="130">
        <v>3</v>
      </c>
      <c r="F195" s="100" t="str">
        <f t="shared" si="56"/>
        <v>RESPONSE-23</v>
      </c>
      <c r="G195" s="100">
        <f t="shared" si="62"/>
        <v>2</v>
      </c>
      <c r="H195" s="133">
        <f t="shared" ca="1" si="58"/>
        <v>0</v>
      </c>
      <c r="I195" s="133">
        <f t="shared" ca="1" si="57"/>
        <v>0</v>
      </c>
      <c r="W195" s="983" t="str">
        <f ca="1">AB195&amp;"-"&amp;COUNTIF($AB$2:$AB195,$AB195)</f>
        <v>0-3-0-43</v>
      </c>
      <c r="X195" s="983" t="s">
        <v>253</v>
      </c>
      <c r="Y195" s="985">
        <f t="shared" ca="1" si="61"/>
        <v>0</v>
      </c>
      <c r="Z195" s="988">
        <v>3</v>
      </c>
      <c r="AA195" s="985">
        <f t="shared" ca="1" si="63"/>
        <v>0</v>
      </c>
      <c r="AB195" s="987" t="str">
        <f t="shared" ca="1" si="55"/>
        <v>0-3-0</v>
      </c>
    </row>
    <row r="196" spans="1:28" ht="15" customHeight="1" x14ac:dyDescent="0.2">
      <c r="A196" s="130" t="s">
        <v>69</v>
      </c>
      <c r="B196" s="130" t="s">
        <v>92</v>
      </c>
      <c r="C196" s="130" t="s">
        <v>254</v>
      </c>
      <c r="D196" s="974" t="s">
        <v>198</v>
      </c>
      <c r="E196" s="130">
        <v>3</v>
      </c>
      <c r="F196" s="100" t="str">
        <f t="shared" si="56"/>
        <v>RESPONSE-23</v>
      </c>
      <c r="G196" s="100">
        <f t="shared" si="62"/>
        <v>2</v>
      </c>
      <c r="H196" s="133">
        <f t="shared" ca="1" si="58"/>
        <v>0</v>
      </c>
      <c r="I196" s="133">
        <f t="shared" ca="1" si="57"/>
        <v>0</v>
      </c>
      <c r="W196" s="983" t="str">
        <f ca="1">AB196&amp;"-"&amp;COUNTIF($AB$2:$AB196,$AB196)</f>
        <v>0-3-0-44</v>
      </c>
      <c r="X196" s="983" t="s">
        <v>254</v>
      </c>
      <c r="Y196" s="985">
        <f t="shared" ca="1" si="61"/>
        <v>0</v>
      </c>
      <c r="Z196" s="988">
        <v>3</v>
      </c>
      <c r="AA196" s="985">
        <f t="shared" ca="1" si="63"/>
        <v>0</v>
      </c>
      <c r="AB196" s="987" t="str">
        <f t="shared" ref="AB196:AB259" ca="1" si="64">Y196&amp;"-"&amp;Z196&amp;"-"&amp;AA196</f>
        <v>0-3-0</v>
      </c>
    </row>
    <row r="197" spans="1:28" ht="15" customHeight="1" x14ac:dyDescent="0.2">
      <c r="A197" s="130" t="s">
        <v>69</v>
      </c>
      <c r="B197" s="130" t="s">
        <v>94</v>
      </c>
      <c r="C197" s="130" t="s">
        <v>255</v>
      </c>
      <c r="D197" s="974" t="s">
        <v>22</v>
      </c>
      <c r="E197" s="130">
        <v>1</v>
      </c>
      <c r="F197" s="100" t="str">
        <f t="shared" si="56"/>
        <v>RESPONSE-31</v>
      </c>
      <c r="G197" s="100">
        <f t="shared" si="62"/>
        <v>3</v>
      </c>
      <c r="H197" s="133">
        <f t="shared" ca="1" si="58"/>
        <v>0</v>
      </c>
      <c r="I197" s="133">
        <f t="shared" ca="1" si="57"/>
        <v>0</v>
      </c>
      <c r="W197" s="983" t="str">
        <f ca="1">AB197&amp;"-"&amp;COUNTIF($AB$2:$AB197,$AB197)</f>
        <v>0-1-0-35</v>
      </c>
      <c r="X197" s="983" t="s">
        <v>255</v>
      </c>
      <c r="Y197" s="985">
        <f t="shared" ca="1" si="61"/>
        <v>0</v>
      </c>
      <c r="Z197" s="988">
        <v>1</v>
      </c>
      <c r="AA197" s="985">
        <f t="shared" ca="1" si="63"/>
        <v>0</v>
      </c>
      <c r="AB197" s="987" t="str">
        <f t="shared" ca="1" si="64"/>
        <v>0-1-0</v>
      </c>
    </row>
    <row r="198" spans="1:28" ht="15" customHeight="1" x14ac:dyDescent="0.2">
      <c r="A198" s="130" t="s">
        <v>69</v>
      </c>
      <c r="B198" s="130" t="s">
        <v>94</v>
      </c>
      <c r="C198" s="130" t="s">
        <v>256</v>
      </c>
      <c r="D198" s="974" t="s">
        <v>23</v>
      </c>
      <c r="E198" s="130">
        <v>1</v>
      </c>
      <c r="F198" s="100" t="str">
        <f t="shared" si="56"/>
        <v>RESPONSE-31</v>
      </c>
      <c r="G198" s="100">
        <f t="shared" si="62"/>
        <v>3</v>
      </c>
      <c r="H198" s="133">
        <f t="shared" ca="1" si="58"/>
        <v>0</v>
      </c>
      <c r="I198" s="133">
        <f t="shared" ca="1" si="57"/>
        <v>0</v>
      </c>
      <c r="W198" s="983" t="str">
        <f ca="1">AB198&amp;"-"&amp;COUNTIF($AB$2:$AB198,$AB198)</f>
        <v>0-1-0-36</v>
      </c>
      <c r="X198" s="983" t="s">
        <v>256</v>
      </c>
      <c r="Y198" s="985">
        <f t="shared" ca="1" si="61"/>
        <v>0</v>
      </c>
      <c r="Z198" s="988">
        <v>1</v>
      </c>
      <c r="AA198" s="985">
        <f t="shared" ca="1" si="63"/>
        <v>0</v>
      </c>
      <c r="AB198" s="987" t="str">
        <f t="shared" ca="1" si="64"/>
        <v>0-1-0</v>
      </c>
    </row>
    <row r="199" spans="1:28" ht="15" customHeight="1" x14ac:dyDescent="0.2">
      <c r="A199" s="130" t="s">
        <v>69</v>
      </c>
      <c r="B199" s="130" t="s">
        <v>94</v>
      </c>
      <c r="C199" s="130" t="s">
        <v>257</v>
      </c>
      <c r="D199" s="974" t="s">
        <v>24</v>
      </c>
      <c r="E199" s="130">
        <v>1</v>
      </c>
      <c r="F199" s="100" t="str">
        <f t="shared" si="56"/>
        <v>RESPONSE-31</v>
      </c>
      <c r="G199" s="100">
        <f t="shared" si="62"/>
        <v>3</v>
      </c>
      <c r="H199" s="133">
        <f t="shared" ca="1" si="58"/>
        <v>0</v>
      </c>
      <c r="I199" s="133">
        <f t="shared" ca="1" si="57"/>
        <v>0</v>
      </c>
      <c r="W199" s="983" t="str">
        <f ca="1">AB199&amp;"-"&amp;COUNTIF($AB$2:$AB199,$AB199)</f>
        <v>0-1-0-37</v>
      </c>
      <c r="X199" s="983" t="s">
        <v>257</v>
      </c>
      <c r="Y199" s="985">
        <f t="shared" ca="1" si="61"/>
        <v>0</v>
      </c>
      <c r="Z199" s="988">
        <v>1</v>
      </c>
      <c r="AA199" s="985">
        <f t="shared" ca="1" si="63"/>
        <v>0</v>
      </c>
      <c r="AB199" s="987" t="str">
        <f t="shared" ca="1" si="64"/>
        <v>0-1-0</v>
      </c>
    </row>
    <row r="200" spans="1:28" ht="15" customHeight="1" x14ac:dyDescent="0.2">
      <c r="A200" s="130" t="s">
        <v>69</v>
      </c>
      <c r="B200" s="130" t="s">
        <v>94</v>
      </c>
      <c r="C200" s="130" t="s">
        <v>258</v>
      </c>
      <c r="D200" s="974" t="s">
        <v>25</v>
      </c>
      <c r="E200" s="130">
        <v>2</v>
      </c>
      <c r="F200" s="100" t="str">
        <f t="shared" si="56"/>
        <v>RESPONSE-32</v>
      </c>
      <c r="G200" s="100">
        <f t="shared" si="62"/>
        <v>5</v>
      </c>
      <c r="H200" s="133">
        <f t="shared" ca="1" si="58"/>
        <v>0</v>
      </c>
      <c r="I200" s="133">
        <f t="shared" ca="1" si="57"/>
        <v>0</v>
      </c>
      <c r="W200" s="983" t="str">
        <f ca="1">AB200&amp;"-"&amp;COUNTIF($AB$2:$AB200,$AB200)</f>
        <v>0-2-0-87</v>
      </c>
      <c r="X200" s="983" t="s">
        <v>258</v>
      </c>
      <c r="Y200" s="985">
        <f t="shared" ca="1" si="61"/>
        <v>0</v>
      </c>
      <c r="Z200" s="988">
        <v>2</v>
      </c>
      <c r="AA200" s="985">
        <f t="shared" ca="1" si="63"/>
        <v>0</v>
      </c>
      <c r="AB200" s="987" t="str">
        <f t="shared" ca="1" si="64"/>
        <v>0-2-0</v>
      </c>
    </row>
    <row r="201" spans="1:28" ht="15" customHeight="1" x14ac:dyDescent="0.2">
      <c r="A201" s="130" t="s">
        <v>69</v>
      </c>
      <c r="B201" s="130" t="s">
        <v>94</v>
      </c>
      <c r="C201" s="130" t="s">
        <v>259</v>
      </c>
      <c r="D201" s="974" t="s">
        <v>26</v>
      </c>
      <c r="E201" s="130">
        <v>2</v>
      </c>
      <c r="F201" s="100" t="str">
        <f t="shared" ref="F201:F266" si="65">CONCATENATE($B201,$E201)</f>
        <v>RESPONSE-32</v>
      </c>
      <c r="G201" s="100">
        <f t="shared" si="62"/>
        <v>5</v>
      </c>
      <c r="H201" s="133">
        <f t="shared" ca="1" si="58"/>
        <v>0</v>
      </c>
      <c r="I201" s="133">
        <f t="shared" ref="I201:I266" ca="1" si="66">IFERROR(IF(H201&gt;2,1,0),0)</f>
        <v>0</v>
      </c>
      <c r="W201" s="983" t="str">
        <f ca="1">AB201&amp;"-"&amp;COUNTIF($AB$2:$AB201,$AB201)</f>
        <v>0-2-0-88</v>
      </c>
      <c r="X201" s="983" t="s">
        <v>259</v>
      </c>
      <c r="Y201" s="985">
        <f t="shared" ca="1" si="61"/>
        <v>0</v>
      </c>
      <c r="Z201" s="988">
        <v>2</v>
      </c>
      <c r="AA201" s="985">
        <f t="shared" ca="1" si="63"/>
        <v>0</v>
      </c>
      <c r="AB201" s="987" t="str">
        <f t="shared" ca="1" si="64"/>
        <v>0-2-0</v>
      </c>
    </row>
    <row r="202" spans="1:28" ht="15" customHeight="1" x14ac:dyDescent="0.2">
      <c r="A202" s="130" t="s">
        <v>69</v>
      </c>
      <c r="B202" s="130" t="s">
        <v>94</v>
      </c>
      <c r="C202" s="130" t="s">
        <v>260</v>
      </c>
      <c r="D202" s="974" t="s">
        <v>27</v>
      </c>
      <c r="E202" s="130">
        <v>2</v>
      </c>
      <c r="F202" s="100" t="str">
        <f t="shared" si="65"/>
        <v>RESPONSE-32</v>
      </c>
      <c r="G202" s="100">
        <f t="shared" si="62"/>
        <v>5</v>
      </c>
      <c r="H202" s="133">
        <f t="shared" ref="H202:H267" ca="1" si="67">INT(LEFT(
VLOOKUP($D202, INDIRECT("'"&amp;$A202&amp;"'!"&amp;"$D:$G"), 4,FALSE), 1)
)</f>
        <v>0</v>
      </c>
      <c r="I202" s="133">
        <f t="shared" ca="1" si="66"/>
        <v>0</v>
      </c>
      <c r="W202" s="983" t="str">
        <f ca="1">AB202&amp;"-"&amp;COUNTIF($AB$2:$AB202,$AB202)</f>
        <v>0-2-0-89</v>
      </c>
      <c r="X202" s="983" t="s">
        <v>260</v>
      </c>
      <c r="Y202" s="985">
        <f t="shared" ca="1" si="61"/>
        <v>0</v>
      </c>
      <c r="Z202" s="988">
        <v>2</v>
      </c>
      <c r="AA202" s="985">
        <f t="shared" ca="1" si="63"/>
        <v>0</v>
      </c>
      <c r="AB202" s="987" t="str">
        <f t="shared" ca="1" si="64"/>
        <v>0-2-0</v>
      </c>
    </row>
    <row r="203" spans="1:28" ht="15" customHeight="1" x14ac:dyDescent="0.2">
      <c r="A203" s="130" t="s">
        <v>69</v>
      </c>
      <c r="B203" s="130" t="s">
        <v>94</v>
      </c>
      <c r="C203" s="130" t="s">
        <v>261</v>
      </c>
      <c r="D203" s="974" t="s">
        <v>28</v>
      </c>
      <c r="E203" s="130">
        <v>2</v>
      </c>
      <c r="F203" s="100" t="str">
        <f t="shared" si="65"/>
        <v>RESPONSE-32</v>
      </c>
      <c r="G203" s="100">
        <f t="shared" si="62"/>
        <v>5</v>
      </c>
      <c r="H203" s="133">
        <f t="shared" ca="1" si="67"/>
        <v>0</v>
      </c>
      <c r="I203" s="133">
        <f t="shared" ca="1" si="66"/>
        <v>0</v>
      </c>
      <c r="W203" s="983" t="str">
        <f ca="1">AB203&amp;"-"&amp;COUNTIF($AB$2:$AB203,$AB203)</f>
        <v>0-2-0-90</v>
      </c>
      <c r="X203" s="983" t="s">
        <v>261</v>
      </c>
      <c r="Y203" s="985">
        <f t="shared" ca="1" si="61"/>
        <v>0</v>
      </c>
      <c r="Z203" s="988">
        <v>2</v>
      </c>
      <c r="AA203" s="985">
        <f t="shared" ca="1" si="63"/>
        <v>0</v>
      </c>
      <c r="AB203" s="987" t="str">
        <f t="shared" ca="1" si="64"/>
        <v>0-2-0</v>
      </c>
    </row>
    <row r="204" spans="1:28" ht="15" customHeight="1" x14ac:dyDescent="0.2">
      <c r="A204" s="130" t="s">
        <v>69</v>
      </c>
      <c r="B204" s="130" t="s">
        <v>94</v>
      </c>
      <c r="C204" s="130" t="s">
        <v>262</v>
      </c>
      <c r="D204" s="974" t="s">
        <v>232</v>
      </c>
      <c r="E204" s="130">
        <v>2</v>
      </c>
      <c r="F204" s="100" t="str">
        <f t="shared" si="65"/>
        <v>RESPONSE-32</v>
      </c>
      <c r="G204" s="100">
        <f t="shared" si="62"/>
        <v>5</v>
      </c>
      <c r="H204" s="133">
        <f t="shared" ca="1" si="67"/>
        <v>0</v>
      </c>
      <c r="I204" s="133">
        <f t="shared" ca="1" si="66"/>
        <v>0</v>
      </c>
      <c r="W204" s="983" t="str">
        <f ca="1">AB204&amp;"-"&amp;COUNTIF($AB$2:$AB204,$AB204)</f>
        <v>0-2-0-91</v>
      </c>
      <c r="X204" s="983" t="s">
        <v>262</v>
      </c>
      <c r="Y204" s="985">
        <f t="shared" ca="1" si="61"/>
        <v>0</v>
      </c>
      <c r="Z204" s="988">
        <v>2</v>
      </c>
      <c r="AA204" s="985">
        <f t="shared" ca="1" si="63"/>
        <v>0</v>
      </c>
      <c r="AB204" s="987" t="str">
        <f t="shared" ca="1" si="64"/>
        <v>0-2-0</v>
      </c>
    </row>
    <row r="205" spans="1:28" ht="15" customHeight="1" x14ac:dyDescent="0.2">
      <c r="A205" s="130" t="s">
        <v>69</v>
      </c>
      <c r="B205" s="130" t="s">
        <v>94</v>
      </c>
      <c r="C205" s="130" t="s">
        <v>263</v>
      </c>
      <c r="D205" s="974" t="s">
        <v>264</v>
      </c>
      <c r="E205" s="130">
        <v>3</v>
      </c>
      <c r="F205" s="100" t="str">
        <f t="shared" si="65"/>
        <v>RESPONSE-33</v>
      </c>
      <c r="G205" s="100">
        <f t="shared" si="62"/>
        <v>4</v>
      </c>
      <c r="H205" s="133">
        <f t="shared" ca="1" si="67"/>
        <v>0</v>
      </c>
      <c r="I205" s="133">
        <f t="shared" ca="1" si="66"/>
        <v>0</v>
      </c>
      <c r="W205" s="983" t="str">
        <f ca="1">AB205&amp;"-"&amp;COUNTIF($AB$2:$AB205,$AB205)</f>
        <v>0-3-0-45</v>
      </c>
      <c r="X205" s="983" t="s">
        <v>263</v>
      </c>
      <c r="Y205" s="985">
        <f t="shared" ca="1" si="61"/>
        <v>0</v>
      </c>
      <c r="Z205" s="988">
        <v>3</v>
      </c>
      <c r="AA205" s="985">
        <f t="shared" ca="1" si="63"/>
        <v>0</v>
      </c>
      <c r="AB205" s="987" t="str">
        <f t="shared" ca="1" si="64"/>
        <v>0-3-0</v>
      </c>
    </row>
    <row r="206" spans="1:28" ht="15" customHeight="1" x14ac:dyDescent="0.2">
      <c r="A206" s="130" t="s">
        <v>69</v>
      </c>
      <c r="B206" s="130" t="s">
        <v>94</v>
      </c>
      <c r="C206" s="130" t="s">
        <v>265</v>
      </c>
      <c r="D206" s="974" t="s">
        <v>266</v>
      </c>
      <c r="E206" s="130">
        <v>3</v>
      </c>
      <c r="F206" s="100" t="str">
        <f t="shared" si="65"/>
        <v>RESPONSE-33</v>
      </c>
      <c r="G206" s="100">
        <f t="shared" si="62"/>
        <v>4</v>
      </c>
      <c r="H206" s="133">
        <f t="shared" ca="1" si="67"/>
        <v>0</v>
      </c>
      <c r="I206" s="133">
        <f t="shared" ca="1" si="66"/>
        <v>0</v>
      </c>
      <c r="W206" s="983" t="str">
        <f ca="1">AB206&amp;"-"&amp;COUNTIF($AB$2:$AB206,$AB206)</f>
        <v>0-3-0-46</v>
      </c>
      <c r="X206" s="983" t="s">
        <v>265</v>
      </c>
      <c r="Y206" s="985">
        <f t="shared" ca="1" si="61"/>
        <v>0</v>
      </c>
      <c r="Z206" s="988">
        <v>3</v>
      </c>
      <c r="AA206" s="985">
        <f t="shared" ca="1" si="63"/>
        <v>0</v>
      </c>
      <c r="AB206" s="987" t="str">
        <f t="shared" ca="1" si="64"/>
        <v>0-3-0</v>
      </c>
    </row>
    <row r="207" spans="1:28" ht="15" customHeight="1" x14ac:dyDescent="0.2">
      <c r="A207" s="130" t="s">
        <v>69</v>
      </c>
      <c r="B207" s="130" t="s">
        <v>94</v>
      </c>
      <c r="C207" s="130" t="s">
        <v>974</v>
      </c>
      <c r="D207" s="974" t="s">
        <v>361</v>
      </c>
      <c r="E207" s="130">
        <v>3</v>
      </c>
      <c r="F207" s="100" t="str">
        <f t="shared" si="65"/>
        <v>RESPONSE-33</v>
      </c>
      <c r="G207" s="100">
        <f t="shared" si="62"/>
        <v>4</v>
      </c>
      <c r="H207" s="133">
        <f t="shared" ca="1" si="67"/>
        <v>0</v>
      </c>
      <c r="I207" s="133">
        <f t="shared" ca="1" si="66"/>
        <v>0</v>
      </c>
      <c r="W207" s="983" t="str">
        <f ca="1">AB207&amp;"-"&amp;COUNTIF($AB$2:$AB207,$AB207)</f>
        <v>0-3-0-47</v>
      </c>
      <c r="X207" s="983" t="s">
        <v>974</v>
      </c>
      <c r="Y207" s="985">
        <f t="shared" ca="1" si="61"/>
        <v>0</v>
      </c>
      <c r="Z207" s="988">
        <v>3</v>
      </c>
      <c r="AA207" s="985">
        <f t="shared" ca="1" si="63"/>
        <v>0</v>
      </c>
      <c r="AB207" s="987" t="str">
        <f t="shared" ca="1" si="64"/>
        <v>0-3-0</v>
      </c>
    </row>
    <row r="208" spans="1:28" ht="15" customHeight="1" x14ac:dyDescent="0.2">
      <c r="A208" s="130" t="s">
        <v>69</v>
      </c>
      <c r="B208" s="130" t="s">
        <v>94</v>
      </c>
      <c r="C208" s="130" t="s">
        <v>2617</v>
      </c>
      <c r="D208" s="974" t="s">
        <v>2799</v>
      </c>
      <c r="E208" s="130">
        <v>3</v>
      </c>
      <c r="F208" s="100" t="str">
        <f t="shared" si="65"/>
        <v>RESPONSE-33</v>
      </c>
      <c r="G208" s="100">
        <f t="shared" si="62"/>
        <v>4</v>
      </c>
      <c r="H208" s="133">
        <f t="shared" ca="1" si="67"/>
        <v>0</v>
      </c>
      <c r="I208" s="133">
        <f t="shared" ref="I208" ca="1" si="68">IFERROR(IF(H208&gt;2,1,0),0)</f>
        <v>0</v>
      </c>
      <c r="W208" s="983" t="str">
        <f ca="1">AB208&amp;"-"&amp;COUNTIF($AB$2:$AB208,$AB208)</f>
        <v>0-3-0-48</v>
      </c>
      <c r="X208" s="983" t="s">
        <v>2617</v>
      </c>
      <c r="Y208" s="985">
        <f t="shared" ca="1" si="61"/>
        <v>0</v>
      </c>
      <c r="Z208" s="988">
        <v>3</v>
      </c>
      <c r="AA208" s="985">
        <f t="shared" ca="1" si="63"/>
        <v>0</v>
      </c>
      <c r="AB208" s="987" t="str">
        <f t="shared" ca="1" si="64"/>
        <v>0-3-0</v>
      </c>
    </row>
    <row r="209" spans="1:28" ht="15" customHeight="1" x14ac:dyDescent="0.2">
      <c r="A209" s="130" t="s">
        <v>69</v>
      </c>
      <c r="B209" s="130" t="s">
        <v>96</v>
      </c>
      <c r="C209" s="130" t="s">
        <v>267</v>
      </c>
      <c r="D209" s="974" t="s">
        <v>117</v>
      </c>
      <c r="E209" s="130">
        <v>1</v>
      </c>
      <c r="F209" s="100" t="str">
        <f t="shared" si="65"/>
        <v>RESPONSE-41</v>
      </c>
      <c r="G209" s="100">
        <f t="shared" si="62"/>
        <v>3</v>
      </c>
      <c r="H209" s="133">
        <f t="shared" ca="1" si="67"/>
        <v>0</v>
      </c>
      <c r="I209" s="133">
        <f t="shared" ca="1" si="66"/>
        <v>0</v>
      </c>
      <c r="W209" s="983" t="str">
        <f ca="1">AB209&amp;"-"&amp;COUNTIF($AB$2:$AB209,$AB209)</f>
        <v>0-1-0-38</v>
      </c>
      <c r="X209" s="983" t="s">
        <v>267</v>
      </c>
      <c r="Y209" s="985">
        <f t="shared" ca="1" si="61"/>
        <v>0</v>
      </c>
      <c r="Z209" s="988">
        <v>1</v>
      </c>
      <c r="AA209" s="985">
        <f t="shared" ca="1" si="63"/>
        <v>0</v>
      </c>
      <c r="AB209" s="987" t="str">
        <f t="shared" ca="1" si="64"/>
        <v>0-1-0</v>
      </c>
    </row>
    <row r="210" spans="1:28" ht="15" customHeight="1" x14ac:dyDescent="0.2">
      <c r="A210" s="130" t="s">
        <v>69</v>
      </c>
      <c r="B210" s="130" t="s">
        <v>96</v>
      </c>
      <c r="C210" s="130" t="s">
        <v>268</v>
      </c>
      <c r="D210" s="974" t="s">
        <v>120</v>
      </c>
      <c r="E210" s="130">
        <v>1</v>
      </c>
      <c r="F210" s="100" t="str">
        <f t="shared" si="65"/>
        <v>RESPONSE-41</v>
      </c>
      <c r="G210" s="100">
        <f t="shared" si="62"/>
        <v>3</v>
      </c>
      <c r="H210" s="133">
        <f t="shared" ca="1" si="67"/>
        <v>0</v>
      </c>
      <c r="I210" s="133">
        <f t="shared" ca="1" si="66"/>
        <v>0</v>
      </c>
      <c r="W210" s="983" t="str">
        <f ca="1">AB210&amp;"-"&amp;COUNTIF($AB$2:$AB210,$AB210)</f>
        <v>0-1-0-39</v>
      </c>
      <c r="X210" s="983" t="s">
        <v>268</v>
      </c>
      <c r="Y210" s="985">
        <f t="shared" ca="1" si="61"/>
        <v>0</v>
      </c>
      <c r="Z210" s="988">
        <v>1</v>
      </c>
      <c r="AA210" s="985">
        <f t="shared" ca="1" si="63"/>
        <v>0</v>
      </c>
      <c r="AB210" s="987" t="str">
        <f t="shared" ca="1" si="64"/>
        <v>0-1-0</v>
      </c>
    </row>
    <row r="211" spans="1:28" ht="15" customHeight="1" x14ac:dyDescent="0.2">
      <c r="A211" s="130" t="s">
        <v>69</v>
      </c>
      <c r="B211" s="130" t="s">
        <v>96</v>
      </c>
      <c r="C211" s="130" t="s">
        <v>269</v>
      </c>
      <c r="D211" s="974" t="s">
        <v>123</v>
      </c>
      <c r="E211" s="130">
        <v>1</v>
      </c>
      <c r="F211" s="100" t="str">
        <f t="shared" si="65"/>
        <v>RESPONSE-41</v>
      </c>
      <c r="G211" s="100">
        <f t="shared" si="62"/>
        <v>3</v>
      </c>
      <c r="H211" s="133">
        <f t="shared" ca="1" si="67"/>
        <v>0</v>
      </c>
      <c r="I211" s="133">
        <f t="shared" ca="1" si="66"/>
        <v>0</v>
      </c>
      <c r="W211" s="983" t="str">
        <f ca="1">AB211&amp;"-"&amp;COUNTIF($AB$2:$AB211,$AB211)</f>
        <v>0-1-0-40</v>
      </c>
      <c r="X211" s="983" t="s">
        <v>269</v>
      </c>
      <c r="Y211" s="985">
        <f t="shared" ca="1" si="61"/>
        <v>0</v>
      </c>
      <c r="Z211" s="988">
        <v>1</v>
      </c>
      <c r="AA211" s="985">
        <f t="shared" ca="1" si="63"/>
        <v>0</v>
      </c>
      <c r="AB211" s="987" t="str">
        <f t="shared" ca="1" si="64"/>
        <v>0-1-0</v>
      </c>
    </row>
    <row r="212" spans="1:28" ht="15" customHeight="1" x14ac:dyDescent="0.2">
      <c r="A212" s="130" t="s">
        <v>69</v>
      </c>
      <c r="B212" s="130" t="s">
        <v>96</v>
      </c>
      <c r="C212" s="130" t="s">
        <v>270</v>
      </c>
      <c r="D212" s="974" t="s">
        <v>126</v>
      </c>
      <c r="E212" s="130">
        <v>2</v>
      </c>
      <c r="F212" s="100" t="str">
        <f t="shared" si="65"/>
        <v>RESPONSE-42</v>
      </c>
      <c r="G212" s="100">
        <f t="shared" si="62"/>
        <v>9</v>
      </c>
      <c r="H212" s="133">
        <f t="shared" ca="1" si="67"/>
        <v>0</v>
      </c>
      <c r="I212" s="133">
        <f t="shared" ca="1" si="66"/>
        <v>0</v>
      </c>
      <c r="W212" s="983" t="str">
        <f ca="1">AB212&amp;"-"&amp;COUNTIF($AB$2:$AB212,$AB212)</f>
        <v>0-2-0-92</v>
      </c>
      <c r="X212" s="983" t="s">
        <v>270</v>
      </c>
      <c r="Y212" s="985">
        <f t="shared" ca="1" si="61"/>
        <v>0</v>
      </c>
      <c r="Z212" s="988">
        <v>2</v>
      </c>
      <c r="AA212" s="985">
        <f t="shared" ca="1" si="63"/>
        <v>0</v>
      </c>
      <c r="AB212" s="987" t="str">
        <f t="shared" ca="1" si="64"/>
        <v>0-2-0</v>
      </c>
    </row>
    <row r="213" spans="1:28" ht="15" customHeight="1" x14ac:dyDescent="0.2">
      <c r="A213" s="130" t="s">
        <v>69</v>
      </c>
      <c r="B213" s="130" t="s">
        <v>96</v>
      </c>
      <c r="C213" s="130" t="s">
        <v>271</v>
      </c>
      <c r="D213" s="974" t="s">
        <v>129</v>
      </c>
      <c r="E213" s="130">
        <v>2</v>
      </c>
      <c r="F213" s="100" t="str">
        <f t="shared" si="65"/>
        <v>RESPONSE-42</v>
      </c>
      <c r="G213" s="100">
        <f t="shared" si="62"/>
        <v>9</v>
      </c>
      <c r="H213" s="133">
        <f t="shared" ca="1" si="67"/>
        <v>0</v>
      </c>
      <c r="I213" s="133">
        <f t="shared" ca="1" si="66"/>
        <v>0</v>
      </c>
      <c r="W213" s="983" t="str">
        <f ca="1">AB213&amp;"-"&amp;COUNTIF($AB$2:$AB213,$AB213)</f>
        <v>0-2-0-93</v>
      </c>
      <c r="X213" s="983" t="s">
        <v>271</v>
      </c>
      <c r="Y213" s="985">
        <f t="shared" ca="1" si="61"/>
        <v>0</v>
      </c>
      <c r="Z213" s="988">
        <v>2</v>
      </c>
      <c r="AA213" s="985">
        <f t="shared" ca="1" si="63"/>
        <v>0</v>
      </c>
      <c r="AB213" s="987" t="str">
        <f t="shared" ca="1" si="64"/>
        <v>0-2-0</v>
      </c>
    </row>
    <row r="214" spans="1:28" ht="15" customHeight="1" x14ac:dyDescent="0.2">
      <c r="A214" s="130" t="s">
        <v>69</v>
      </c>
      <c r="B214" s="130" t="s">
        <v>96</v>
      </c>
      <c r="C214" s="130" t="s">
        <v>272</v>
      </c>
      <c r="D214" s="974" t="s">
        <v>131</v>
      </c>
      <c r="E214" s="130">
        <v>2</v>
      </c>
      <c r="F214" s="100" t="str">
        <f t="shared" si="65"/>
        <v>RESPONSE-42</v>
      </c>
      <c r="G214" s="100">
        <f t="shared" si="62"/>
        <v>9</v>
      </c>
      <c r="H214" s="133">
        <f t="shared" ca="1" si="67"/>
        <v>0</v>
      </c>
      <c r="I214" s="133">
        <f t="shared" ca="1" si="66"/>
        <v>0</v>
      </c>
      <c r="W214" s="983" t="str">
        <f ca="1">AB214&amp;"-"&amp;COUNTIF($AB$2:$AB214,$AB214)</f>
        <v>0-2-0-94</v>
      </c>
      <c r="X214" s="983" t="s">
        <v>272</v>
      </c>
      <c r="Y214" s="985">
        <f t="shared" ref="Y214:Y245" ca="1" si="69">VLOOKUP(LEFT($X214,LEN($X214)-1),$K:$O,5,FALSE)</f>
        <v>0</v>
      </c>
      <c r="Z214" s="988">
        <v>2</v>
      </c>
      <c r="AA214" s="985">
        <f t="shared" ca="1" si="63"/>
        <v>0</v>
      </c>
      <c r="AB214" s="987" t="str">
        <f t="shared" ca="1" si="64"/>
        <v>0-2-0</v>
      </c>
    </row>
    <row r="215" spans="1:28" ht="15" customHeight="1" x14ac:dyDescent="0.2">
      <c r="A215" s="130" t="s">
        <v>69</v>
      </c>
      <c r="B215" s="130" t="s">
        <v>96</v>
      </c>
      <c r="C215" s="130" t="s">
        <v>273</v>
      </c>
      <c r="D215" s="974" t="s">
        <v>239</v>
      </c>
      <c r="E215" s="130">
        <v>2</v>
      </c>
      <c r="F215" s="100" t="str">
        <f t="shared" si="65"/>
        <v>RESPONSE-42</v>
      </c>
      <c r="G215" s="100">
        <f t="shared" si="62"/>
        <v>9</v>
      </c>
      <c r="H215" s="133">
        <f t="shared" ca="1" si="67"/>
        <v>0</v>
      </c>
      <c r="I215" s="133">
        <f t="shared" ca="1" si="66"/>
        <v>0</v>
      </c>
      <c r="W215" s="983" t="str">
        <f ca="1">AB215&amp;"-"&amp;COUNTIF($AB$2:$AB215,$AB215)</f>
        <v>0-2-0-95</v>
      </c>
      <c r="X215" s="983" t="s">
        <v>273</v>
      </c>
      <c r="Y215" s="985">
        <f t="shared" ca="1" si="69"/>
        <v>0</v>
      </c>
      <c r="Z215" s="988">
        <v>2</v>
      </c>
      <c r="AA215" s="985">
        <f t="shared" ca="1" si="63"/>
        <v>0</v>
      </c>
      <c r="AB215" s="987" t="str">
        <f t="shared" ca="1" si="64"/>
        <v>0-2-0</v>
      </c>
    </row>
    <row r="216" spans="1:28" ht="15" customHeight="1" x14ac:dyDescent="0.2">
      <c r="A216" s="130" t="s">
        <v>69</v>
      </c>
      <c r="B216" s="130" t="s">
        <v>96</v>
      </c>
      <c r="C216" s="130" t="s">
        <v>975</v>
      </c>
      <c r="D216" s="974" t="s">
        <v>327</v>
      </c>
      <c r="E216" s="130">
        <v>2</v>
      </c>
      <c r="F216" s="100" t="str">
        <f t="shared" si="65"/>
        <v>RESPONSE-42</v>
      </c>
      <c r="G216" s="100">
        <f t="shared" si="62"/>
        <v>9</v>
      </c>
      <c r="H216" s="133">
        <f t="shared" ca="1" si="67"/>
        <v>0</v>
      </c>
      <c r="I216" s="133">
        <f t="shared" ca="1" si="66"/>
        <v>0</v>
      </c>
      <c r="W216" s="983" t="str">
        <f ca="1">AB216&amp;"-"&amp;COUNTIF($AB$2:$AB216,$AB216)</f>
        <v>0-2-0-96</v>
      </c>
      <c r="X216" s="983" t="s">
        <v>975</v>
      </c>
      <c r="Y216" s="985">
        <f t="shared" ca="1" si="69"/>
        <v>0</v>
      </c>
      <c r="Z216" s="988">
        <v>2</v>
      </c>
      <c r="AA216" s="985">
        <f t="shared" ca="1" si="63"/>
        <v>0</v>
      </c>
      <c r="AB216" s="987" t="str">
        <f t="shared" ca="1" si="64"/>
        <v>0-2-0</v>
      </c>
    </row>
    <row r="217" spans="1:28" ht="15" customHeight="1" x14ac:dyDescent="0.2">
      <c r="A217" s="130" t="s">
        <v>69</v>
      </c>
      <c r="B217" s="130" t="s">
        <v>96</v>
      </c>
      <c r="C217" s="130" t="s">
        <v>976</v>
      </c>
      <c r="D217" s="974" t="s">
        <v>328</v>
      </c>
      <c r="E217" s="130">
        <v>2</v>
      </c>
      <c r="F217" s="100" t="str">
        <f t="shared" si="65"/>
        <v>RESPONSE-42</v>
      </c>
      <c r="G217" s="100">
        <f t="shared" si="62"/>
        <v>9</v>
      </c>
      <c r="H217" s="133">
        <f t="shared" ca="1" si="67"/>
        <v>0</v>
      </c>
      <c r="I217" s="133">
        <f t="shared" ca="1" si="66"/>
        <v>0</v>
      </c>
      <c r="W217" s="983" t="str">
        <f ca="1">AB217&amp;"-"&amp;COUNTIF($AB$2:$AB217,$AB217)</f>
        <v>0-2-0-97</v>
      </c>
      <c r="X217" s="983" t="s">
        <v>976</v>
      </c>
      <c r="Y217" s="985">
        <f t="shared" ca="1" si="69"/>
        <v>0</v>
      </c>
      <c r="Z217" s="988">
        <v>2</v>
      </c>
      <c r="AA217" s="985">
        <f t="shared" ca="1" si="63"/>
        <v>0</v>
      </c>
      <c r="AB217" s="987" t="str">
        <f t="shared" ca="1" si="64"/>
        <v>0-2-0</v>
      </c>
    </row>
    <row r="218" spans="1:28" ht="15" customHeight="1" x14ac:dyDescent="0.2">
      <c r="A218" s="130" t="s">
        <v>69</v>
      </c>
      <c r="B218" s="130" t="s">
        <v>96</v>
      </c>
      <c r="C218" s="130" t="s">
        <v>977</v>
      </c>
      <c r="D218" s="974" t="s">
        <v>1018</v>
      </c>
      <c r="E218" s="130">
        <v>2</v>
      </c>
      <c r="F218" s="100" t="str">
        <f t="shared" si="65"/>
        <v>RESPONSE-42</v>
      </c>
      <c r="G218" s="100">
        <f t="shared" si="62"/>
        <v>9</v>
      </c>
      <c r="H218" s="133">
        <f t="shared" ca="1" si="67"/>
        <v>0</v>
      </c>
      <c r="I218" s="133">
        <f t="shared" ca="1" si="66"/>
        <v>0</v>
      </c>
      <c r="W218" s="983" t="str">
        <f ca="1">AB218&amp;"-"&amp;COUNTIF($AB$2:$AB218,$AB218)</f>
        <v>0-2-0-98</v>
      </c>
      <c r="X218" s="983" t="s">
        <v>977</v>
      </c>
      <c r="Y218" s="985">
        <f t="shared" ca="1" si="69"/>
        <v>0</v>
      </c>
      <c r="Z218" s="988">
        <v>2</v>
      </c>
      <c r="AA218" s="985">
        <f t="shared" ca="1" si="63"/>
        <v>0</v>
      </c>
      <c r="AB218" s="987" t="str">
        <f t="shared" ca="1" si="64"/>
        <v>0-2-0</v>
      </c>
    </row>
    <row r="219" spans="1:28" ht="15" customHeight="1" x14ac:dyDescent="0.2">
      <c r="A219" s="130" t="s">
        <v>69</v>
      </c>
      <c r="B219" s="130" t="s">
        <v>96</v>
      </c>
      <c r="C219" s="130" t="s">
        <v>978</v>
      </c>
      <c r="D219" s="974" t="s">
        <v>1019</v>
      </c>
      <c r="E219" s="130">
        <v>2</v>
      </c>
      <c r="F219" s="100" t="str">
        <f t="shared" si="65"/>
        <v>RESPONSE-42</v>
      </c>
      <c r="G219" s="100">
        <f t="shared" si="62"/>
        <v>9</v>
      </c>
      <c r="H219" s="133">
        <f t="shared" ca="1" si="67"/>
        <v>0</v>
      </c>
      <c r="I219" s="133">
        <f t="shared" ca="1" si="66"/>
        <v>0</v>
      </c>
      <c r="W219" s="983" t="str">
        <f ca="1">AB219&amp;"-"&amp;COUNTIF($AB$2:$AB219,$AB219)</f>
        <v>0-2-0-99</v>
      </c>
      <c r="X219" s="983" t="s">
        <v>978</v>
      </c>
      <c r="Y219" s="985">
        <f t="shared" ca="1" si="69"/>
        <v>0</v>
      </c>
      <c r="Z219" s="988">
        <v>2</v>
      </c>
      <c r="AA219" s="985">
        <f t="shared" ca="1" si="63"/>
        <v>0</v>
      </c>
      <c r="AB219" s="987" t="str">
        <f t="shared" ca="1" si="64"/>
        <v>0-2-0</v>
      </c>
    </row>
    <row r="220" spans="1:28" ht="15" customHeight="1" x14ac:dyDescent="0.2">
      <c r="A220" s="130" t="s">
        <v>69</v>
      </c>
      <c r="B220" s="130" t="s">
        <v>96</v>
      </c>
      <c r="C220" s="130" t="s">
        <v>979</v>
      </c>
      <c r="D220" s="974" t="s">
        <v>1020</v>
      </c>
      <c r="E220" s="130">
        <v>2</v>
      </c>
      <c r="F220" s="100" t="str">
        <f t="shared" si="65"/>
        <v>RESPONSE-42</v>
      </c>
      <c r="G220" s="100">
        <f t="shared" si="62"/>
        <v>9</v>
      </c>
      <c r="H220" s="133">
        <f t="shared" ca="1" si="67"/>
        <v>0</v>
      </c>
      <c r="I220" s="133">
        <f t="shared" ca="1" si="66"/>
        <v>0</v>
      </c>
      <c r="W220" s="983" t="str">
        <f ca="1">AB220&amp;"-"&amp;COUNTIF($AB$2:$AB220,$AB220)</f>
        <v>0-2-0-100</v>
      </c>
      <c r="X220" s="983" t="s">
        <v>979</v>
      </c>
      <c r="Y220" s="985">
        <f t="shared" ca="1" si="69"/>
        <v>0</v>
      </c>
      <c r="Z220" s="988">
        <v>2</v>
      </c>
      <c r="AA220" s="985">
        <f t="shared" ca="1" si="63"/>
        <v>0</v>
      </c>
      <c r="AB220" s="987" t="str">
        <f t="shared" ca="1" si="64"/>
        <v>0-2-0</v>
      </c>
    </row>
    <row r="221" spans="1:28" ht="15" customHeight="1" x14ac:dyDescent="0.2">
      <c r="A221" s="130" t="s">
        <v>69</v>
      </c>
      <c r="B221" s="130" t="s">
        <v>96</v>
      </c>
      <c r="C221" s="130" t="s">
        <v>980</v>
      </c>
      <c r="D221" s="974" t="s">
        <v>1021</v>
      </c>
      <c r="E221" s="130">
        <v>3</v>
      </c>
      <c r="F221" s="100" t="str">
        <f t="shared" si="65"/>
        <v>RESPONSE-43</v>
      </c>
      <c r="G221" s="100">
        <f t="shared" si="62"/>
        <v>4</v>
      </c>
      <c r="H221" s="133">
        <f t="shared" ca="1" si="67"/>
        <v>0</v>
      </c>
      <c r="I221" s="133">
        <f t="shared" ca="1" si="66"/>
        <v>0</v>
      </c>
      <c r="W221" s="983" t="str">
        <f ca="1">AB221&amp;"-"&amp;COUNTIF($AB$2:$AB221,$AB221)</f>
        <v>0-3-0-49</v>
      </c>
      <c r="X221" s="983" t="s">
        <v>980</v>
      </c>
      <c r="Y221" s="985">
        <f t="shared" ca="1" si="69"/>
        <v>0</v>
      </c>
      <c r="Z221" s="988">
        <v>3</v>
      </c>
      <c r="AA221" s="985">
        <f t="shared" ca="1" si="63"/>
        <v>0</v>
      </c>
      <c r="AB221" s="987" t="str">
        <f t="shared" ca="1" si="64"/>
        <v>0-3-0</v>
      </c>
    </row>
    <row r="222" spans="1:28" ht="15" customHeight="1" x14ac:dyDescent="0.2">
      <c r="A222" s="130" t="s">
        <v>69</v>
      </c>
      <c r="B222" s="130" t="s">
        <v>96</v>
      </c>
      <c r="C222" s="130" t="s">
        <v>981</v>
      </c>
      <c r="D222" s="974" t="s">
        <v>1022</v>
      </c>
      <c r="E222" s="130">
        <v>3</v>
      </c>
      <c r="F222" s="100" t="str">
        <f t="shared" si="65"/>
        <v>RESPONSE-43</v>
      </c>
      <c r="G222" s="100">
        <f t="shared" si="62"/>
        <v>4</v>
      </c>
      <c r="H222" s="133">
        <f t="shared" ca="1" si="67"/>
        <v>0</v>
      </c>
      <c r="I222" s="133">
        <f t="shared" ca="1" si="66"/>
        <v>0</v>
      </c>
      <c r="W222" s="983" t="str">
        <f ca="1">AB222&amp;"-"&amp;COUNTIF($AB$2:$AB222,$AB222)</f>
        <v>0-3-0-50</v>
      </c>
      <c r="X222" s="983" t="s">
        <v>981</v>
      </c>
      <c r="Y222" s="985">
        <f t="shared" ca="1" si="69"/>
        <v>0</v>
      </c>
      <c r="Z222" s="988">
        <v>3</v>
      </c>
      <c r="AA222" s="985">
        <f t="shared" ca="1" si="63"/>
        <v>0</v>
      </c>
      <c r="AB222" s="987" t="str">
        <f t="shared" ca="1" si="64"/>
        <v>0-3-0</v>
      </c>
    </row>
    <row r="223" spans="1:28" ht="15" customHeight="1" x14ac:dyDescent="0.2">
      <c r="A223" s="130" t="s">
        <v>69</v>
      </c>
      <c r="B223" s="130" t="s">
        <v>96</v>
      </c>
      <c r="C223" s="130" t="s">
        <v>982</v>
      </c>
      <c r="D223" s="974" t="s">
        <v>1023</v>
      </c>
      <c r="E223" s="130">
        <v>3</v>
      </c>
      <c r="F223" s="100" t="str">
        <f t="shared" si="65"/>
        <v>RESPONSE-43</v>
      </c>
      <c r="G223" s="100">
        <f t="shared" si="62"/>
        <v>4</v>
      </c>
      <c r="H223" s="133">
        <f t="shared" ca="1" si="67"/>
        <v>0</v>
      </c>
      <c r="I223" s="133">
        <f t="shared" ca="1" si="66"/>
        <v>0</v>
      </c>
      <c r="W223" s="983" t="str">
        <f ca="1">AB223&amp;"-"&amp;COUNTIF($AB$2:$AB223,$AB223)</f>
        <v>0-3-0-51</v>
      </c>
      <c r="X223" s="983" t="s">
        <v>982</v>
      </c>
      <c r="Y223" s="985">
        <f t="shared" ca="1" si="69"/>
        <v>0</v>
      </c>
      <c r="Z223" s="988">
        <v>3</v>
      </c>
      <c r="AA223" s="985">
        <f t="shared" ca="1" si="63"/>
        <v>0</v>
      </c>
      <c r="AB223" s="987" t="str">
        <f t="shared" ca="1" si="64"/>
        <v>0-3-0</v>
      </c>
    </row>
    <row r="224" spans="1:28" ht="15" customHeight="1" x14ac:dyDescent="0.2">
      <c r="A224" s="130" t="s">
        <v>69</v>
      </c>
      <c r="B224" s="130" t="s">
        <v>96</v>
      </c>
      <c r="C224" s="130" t="s">
        <v>983</v>
      </c>
      <c r="D224" s="974" t="s">
        <v>1024</v>
      </c>
      <c r="E224" s="130">
        <v>3</v>
      </c>
      <c r="F224" s="100" t="str">
        <f t="shared" si="65"/>
        <v>RESPONSE-43</v>
      </c>
      <c r="G224" s="100">
        <f t="shared" si="62"/>
        <v>4</v>
      </c>
      <c r="H224" s="133">
        <f t="shared" ca="1" si="67"/>
        <v>0</v>
      </c>
      <c r="I224" s="133">
        <f t="shared" ca="1" si="66"/>
        <v>0</v>
      </c>
      <c r="W224" s="983" t="str">
        <f ca="1">AB224&amp;"-"&amp;COUNTIF($AB$2:$AB224,$AB224)</f>
        <v>0-3-0-52</v>
      </c>
      <c r="X224" s="983" t="s">
        <v>983</v>
      </c>
      <c r="Y224" s="985">
        <f t="shared" ca="1" si="69"/>
        <v>0</v>
      </c>
      <c r="Z224" s="988">
        <v>3</v>
      </c>
      <c r="AA224" s="985">
        <f t="shared" ca="1" si="63"/>
        <v>0</v>
      </c>
      <c r="AB224" s="987" t="str">
        <f t="shared" ca="1" si="64"/>
        <v>0-3-0</v>
      </c>
    </row>
    <row r="225" spans="1:28" ht="15" customHeight="1" x14ac:dyDescent="0.2">
      <c r="A225" s="130" t="s">
        <v>69</v>
      </c>
      <c r="B225" s="130" t="s">
        <v>1025</v>
      </c>
      <c r="C225" s="130" t="s">
        <v>985</v>
      </c>
      <c r="D225" s="974" t="s">
        <v>134</v>
      </c>
      <c r="E225" s="130">
        <v>2</v>
      </c>
      <c r="F225" s="100" t="str">
        <f t="shared" si="65"/>
        <v>RESPONSE-52</v>
      </c>
      <c r="G225" s="100">
        <f t="shared" si="62"/>
        <v>2</v>
      </c>
      <c r="H225" s="133">
        <f t="shared" ca="1" si="67"/>
        <v>0</v>
      </c>
      <c r="I225" s="133">
        <f t="shared" ca="1" si="66"/>
        <v>0</v>
      </c>
      <c r="W225" s="983" t="str">
        <f ca="1">AB225&amp;"-"&amp;COUNTIF($AB$2:$AB225,$AB225)</f>
        <v>1-2-0-12</v>
      </c>
      <c r="X225" s="983" t="s">
        <v>985</v>
      </c>
      <c r="Y225" s="985">
        <f t="shared" ca="1" si="69"/>
        <v>1</v>
      </c>
      <c r="Z225" s="988">
        <v>2</v>
      </c>
      <c r="AA225" s="985">
        <f t="shared" ca="1" si="63"/>
        <v>0</v>
      </c>
      <c r="AB225" s="987" t="str">
        <f t="shared" ca="1" si="64"/>
        <v>1-2-0</v>
      </c>
    </row>
    <row r="226" spans="1:28" ht="15" customHeight="1" x14ac:dyDescent="0.2">
      <c r="A226" s="130" t="s">
        <v>69</v>
      </c>
      <c r="B226" s="130" t="s">
        <v>1025</v>
      </c>
      <c r="C226" s="130" t="s">
        <v>986</v>
      </c>
      <c r="D226" s="974" t="s">
        <v>137</v>
      </c>
      <c r="E226" s="130">
        <v>2</v>
      </c>
      <c r="F226" s="100" t="str">
        <f t="shared" si="65"/>
        <v>RESPONSE-52</v>
      </c>
      <c r="G226" s="100">
        <f t="shared" si="62"/>
        <v>2</v>
      </c>
      <c r="H226" s="133">
        <f t="shared" ca="1" si="67"/>
        <v>0</v>
      </c>
      <c r="I226" s="133">
        <f t="shared" ca="1" si="66"/>
        <v>0</v>
      </c>
      <c r="W226" s="983" t="str">
        <f ca="1">AB226&amp;"-"&amp;COUNTIF($AB$2:$AB226,$AB226)</f>
        <v>1-2-0-13</v>
      </c>
      <c r="X226" s="983" t="s">
        <v>986</v>
      </c>
      <c r="Y226" s="985">
        <f t="shared" ca="1" si="69"/>
        <v>1</v>
      </c>
      <c r="Z226" s="988">
        <v>2</v>
      </c>
      <c r="AA226" s="985">
        <f t="shared" ca="1" si="63"/>
        <v>0</v>
      </c>
      <c r="AB226" s="987" t="str">
        <f t="shared" ca="1" si="64"/>
        <v>1-2-0</v>
      </c>
    </row>
    <row r="227" spans="1:28" ht="15" customHeight="1" x14ac:dyDescent="0.2">
      <c r="A227" s="130" t="s">
        <v>69</v>
      </c>
      <c r="B227" s="130" t="s">
        <v>1025</v>
      </c>
      <c r="C227" s="130" t="s">
        <v>987</v>
      </c>
      <c r="D227" s="974" t="s">
        <v>140</v>
      </c>
      <c r="E227" s="130">
        <v>3</v>
      </c>
      <c r="F227" s="100" t="str">
        <f t="shared" si="65"/>
        <v>RESPONSE-53</v>
      </c>
      <c r="G227" s="100">
        <f t="shared" si="62"/>
        <v>4</v>
      </c>
      <c r="H227" s="133">
        <f t="shared" ca="1" si="67"/>
        <v>0</v>
      </c>
      <c r="I227" s="133">
        <f t="shared" ca="1" si="66"/>
        <v>0</v>
      </c>
      <c r="W227" s="983" t="str">
        <f ca="1">AB227&amp;"-"&amp;COUNTIF($AB$2:$AB227,$AB227)</f>
        <v>1-3-0-21</v>
      </c>
      <c r="X227" s="983" t="s">
        <v>987</v>
      </c>
      <c r="Y227" s="985">
        <f t="shared" ca="1" si="69"/>
        <v>1</v>
      </c>
      <c r="Z227" s="988">
        <v>3</v>
      </c>
      <c r="AA227" s="985">
        <f t="shared" ca="1" si="63"/>
        <v>0</v>
      </c>
      <c r="AB227" s="987" t="str">
        <f t="shared" ca="1" si="64"/>
        <v>1-3-0</v>
      </c>
    </row>
    <row r="228" spans="1:28" ht="15" customHeight="1" x14ac:dyDescent="0.2">
      <c r="A228" s="130" t="s">
        <v>69</v>
      </c>
      <c r="B228" s="130" t="s">
        <v>1025</v>
      </c>
      <c r="C228" s="130" t="s">
        <v>988</v>
      </c>
      <c r="D228" s="974" t="s">
        <v>142</v>
      </c>
      <c r="E228" s="130">
        <v>3</v>
      </c>
      <c r="F228" s="100" t="str">
        <f t="shared" si="65"/>
        <v>RESPONSE-53</v>
      </c>
      <c r="G228" s="100">
        <f t="shared" si="62"/>
        <v>4</v>
      </c>
      <c r="H228" s="133">
        <f t="shared" ca="1" si="67"/>
        <v>0</v>
      </c>
      <c r="I228" s="133">
        <f t="shared" ca="1" si="66"/>
        <v>0</v>
      </c>
      <c r="W228" s="983" t="str">
        <f ca="1">AB228&amp;"-"&amp;COUNTIF($AB$2:$AB228,$AB228)</f>
        <v>1-3-0-22</v>
      </c>
      <c r="X228" s="983" t="s">
        <v>988</v>
      </c>
      <c r="Y228" s="985">
        <f t="shared" ca="1" si="69"/>
        <v>1</v>
      </c>
      <c r="Z228" s="988">
        <v>3</v>
      </c>
      <c r="AA228" s="985">
        <f t="shared" ca="1" si="63"/>
        <v>0</v>
      </c>
      <c r="AB228" s="987" t="str">
        <f t="shared" ca="1" si="64"/>
        <v>1-3-0</v>
      </c>
    </row>
    <row r="229" spans="1:28" ht="15" customHeight="1" x14ac:dyDescent="0.2">
      <c r="A229" s="130" t="s">
        <v>69</v>
      </c>
      <c r="B229" s="130" t="s">
        <v>1025</v>
      </c>
      <c r="C229" s="130" t="s">
        <v>989</v>
      </c>
      <c r="D229" s="974" t="s">
        <v>144</v>
      </c>
      <c r="E229" s="130">
        <v>3</v>
      </c>
      <c r="F229" s="100" t="str">
        <f t="shared" si="65"/>
        <v>RESPONSE-53</v>
      </c>
      <c r="G229" s="100">
        <f t="shared" si="62"/>
        <v>4</v>
      </c>
      <c r="H229" s="133">
        <f t="shared" ca="1" si="67"/>
        <v>0</v>
      </c>
      <c r="I229" s="133">
        <f t="shared" ca="1" si="66"/>
        <v>0</v>
      </c>
      <c r="W229" s="983" t="str">
        <f ca="1">AB229&amp;"-"&amp;COUNTIF($AB$2:$AB229,$AB229)</f>
        <v>1-3-0-23</v>
      </c>
      <c r="X229" s="983" t="s">
        <v>989</v>
      </c>
      <c r="Y229" s="985">
        <f t="shared" ca="1" si="69"/>
        <v>1</v>
      </c>
      <c r="Z229" s="988">
        <v>3</v>
      </c>
      <c r="AA229" s="985">
        <f t="shared" ca="1" si="63"/>
        <v>0</v>
      </c>
      <c r="AB229" s="987" t="str">
        <f t="shared" ca="1" si="64"/>
        <v>1-3-0</v>
      </c>
    </row>
    <row r="230" spans="1:28" ht="15" customHeight="1" x14ac:dyDescent="0.2">
      <c r="A230" s="130" t="s">
        <v>69</v>
      </c>
      <c r="B230" s="130" t="s">
        <v>1025</v>
      </c>
      <c r="C230" s="130" t="s">
        <v>990</v>
      </c>
      <c r="D230" s="974" t="s">
        <v>146</v>
      </c>
      <c r="E230" s="130">
        <v>3</v>
      </c>
      <c r="F230" s="100" t="str">
        <f t="shared" si="65"/>
        <v>RESPONSE-53</v>
      </c>
      <c r="G230" s="100">
        <f t="shared" si="62"/>
        <v>4</v>
      </c>
      <c r="H230" s="133">
        <f t="shared" ca="1" si="67"/>
        <v>0</v>
      </c>
      <c r="I230" s="133">
        <f t="shared" ca="1" si="66"/>
        <v>0</v>
      </c>
      <c r="W230" s="983" t="str">
        <f ca="1">AB230&amp;"-"&amp;COUNTIF($AB$2:$AB230,$AB230)</f>
        <v>1-3-0-24</v>
      </c>
      <c r="X230" s="983" t="s">
        <v>990</v>
      </c>
      <c r="Y230" s="985">
        <f t="shared" ca="1" si="69"/>
        <v>1</v>
      </c>
      <c r="Z230" s="988">
        <v>3</v>
      </c>
      <c r="AA230" s="985">
        <f t="shared" ca="1" si="63"/>
        <v>0</v>
      </c>
      <c r="AB230" s="987" t="str">
        <f t="shared" ca="1" si="64"/>
        <v>1-3-0</v>
      </c>
    </row>
    <row r="231" spans="1:28" ht="15" customHeight="1" x14ac:dyDescent="0.2">
      <c r="A231" s="406" t="s">
        <v>0</v>
      </c>
      <c r="B231" s="406" t="s">
        <v>40</v>
      </c>
      <c r="C231" s="406" t="s">
        <v>41</v>
      </c>
      <c r="D231" s="973" t="s">
        <v>5</v>
      </c>
      <c r="E231" s="406">
        <v>1</v>
      </c>
      <c r="F231" s="100" t="str">
        <f t="shared" si="65"/>
        <v>RISK-11</v>
      </c>
      <c r="G231" s="100">
        <f t="shared" si="62"/>
        <v>1</v>
      </c>
      <c r="H231" s="133">
        <f t="shared" ca="1" si="67"/>
        <v>0</v>
      </c>
      <c r="I231" s="133">
        <f t="shared" ca="1" si="66"/>
        <v>0</v>
      </c>
      <c r="W231" s="983" t="str">
        <f ca="1">AB231&amp;"-"&amp;COUNTIF($AB$2:$AB231,$AB231)</f>
        <v>0-1-0-41</v>
      </c>
      <c r="X231" s="983" t="s">
        <v>41</v>
      </c>
      <c r="Y231" s="985">
        <f t="shared" ca="1" si="69"/>
        <v>0</v>
      </c>
      <c r="Z231" s="988">
        <v>1</v>
      </c>
      <c r="AA231" s="985">
        <f t="shared" ca="1" si="63"/>
        <v>0</v>
      </c>
      <c r="AB231" s="987" t="str">
        <f t="shared" ca="1" si="64"/>
        <v>0-1-0</v>
      </c>
    </row>
    <row r="232" spans="1:28" ht="15" customHeight="1" x14ac:dyDescent="0.2">
      <c r="A232" s="406" t="s">
        <v>0</v>
      </c>
      <c r="B232" s="406" t="s">
        <v>40</v>
      </c>
      <c r="C232" s="406" t="s">
        <v>42</v>
      </c>
      <c r="D232" s="973" t="s">
        <v>7</v>
      </c>
      <c r="E232" s="406">
        <v>2</v>
      </c>
      <c r="F232" s="100" t="str">
        <f t="shared" si="65"/>
        <v>RISK-12</v>
      </c>
      <c r="G232" s="100">
        <f t="shared" si="62"/>
        <v>5</v>
      </c>
      <c r="H232" s="133">
        <f t="shared" ca="1" si="67"/>
        <v>0</v>
      </c>
      <c r="I232" s="133">
        <f t="shared" ca="1" si="66"/>
        <v>0</v>
      </c>
      <c r="W232" s="983" t="str">
        <f ca="1">AB232&amp;"-"&amp;COUNTIF($AB$2:$AB232,$AB232)</f>
        <v>0-2-0-101</v>
      </c>
      <c r="X232" s="983" t="s">
        <v>42</v>
      </c>
      <c r="Y232" s="985">
        <f t="shared" ca="1" si="69"/>
        <v>0</v>
      </c>
      <c r="Z232" s="988">
        <v>2</v>
      </c>
      <c r="AA232" s="985">
        <f t="shared" ca="1" si="63"/>
        <v>0</v>
      </c>
      <c r="AB232" s="987" t="str">
        <f t="shared" ca="1" si="64"/>
        <v>0-2-0</v>
      </c>
    </row>
    <row r="233" spans="1:28" ht="15" customHeight="1" x14ac:dyDescent="0.2">
      <c r="A233" s="406" t="s">
        <v>0</v>
      </c>
      <c r="B233" s="406" t="s">
        <v>40</v>
      </c>
      <c r="C233" s="406" t="s">
        <v>43</v>
      </c>
      <c r="D233" s="973" t="s">
        <v>8</v>
      </c>
      <c r="E233" s="406">
        <v>2</v>
      </c>
      <c r="F233" s="100" t="str">
        <f t="shared" si="65"/>
        <v>RISK-12</v>
      </c>
      <c r="G233" s="100">
        <f t="shared" si="62"/>
        <v>5</v>
      </c>
      <c r="H233" s="133">
        <f t="shared" ca="1" si="67"/>
        <v>0</v>
      </c>
      <c r="I233" s="133">
        <f t="shared" ca="1" si="66"/>
        <v>0</v>
      </c>
      <c r="W233" s="983" t="str">
        <f ca="1">AB233&amp;"-"&amp;COUNTIF($AB$2:$AB233,$AB233)</f>
        <v>0-2-0-102</v>
      </c>
      <c r="X233" s="983" t="s">
        <v>43</v>
      </c>
      <c r="Y233" s="985">
        <f t="shared" ca="1" si="69"/>
        <v>0</v>
      </c>
      <c r="Z233" s="988">
        <v>2</v>
      </c>
      <c r="AA233" s="985">
        <f t="shared" ca="1" si="63"/>
        <v>0</v>
      </c>
      <c r="AB233" s="987" t="str">
        <f t="shared" ca="1" si="64"/>
        <v>0-2-0</v>
      </c>
    </row>
    <row r="234" spans="1:28" ht="15" customHeight="1" x14ac:dyDescent="0.2">
      <c r="A234" s="406" t="s">
        <v>0</v>
      </c>
      <c r="B234" s="406" t="s">
        <v>40</v>
      </c>
      <c r="C234" s="406" t="s">
        <v>45</v>
      </c>
      <c r="D234" s="973" t="s">
        <v>9</v>
      </c>
      <c r="E234" s="406">
        <v>2</v>
      </c>
      <c r="F234" s="100" t="str">
        <f t="shared" si="65"/>
        <v>RISK-12</v>
      </c>
      <c r="G234" s="100">
        <f t="shared" si="62"/>
        <v>5</v>
      </c>
      <c r="H234" s="133">
        <f t="shared" ca="1" si="67"/>
        <v>0</v>
      </c>
      <c r="I234" s="133">
        <f t="shared" ca="1" si="66"/>
        <v>0</v>
      </c>
      <c r="W234" s="983" t="str">
        <f ca="1">AB234&amp;"-"&amp;COUNTIF($AB$2:$AB234,$AB234)</f>
        <v>0-2-0-103</v>
      </c>
      <c r="X234" s="983" t="s">
        <v>45</v>
      </c>
      <c r="Y234" s="985">
        <f t="shared" ca="1" si="69"/>
        <v>0</v>
      </c>
      <c r="Z234" s="988">
        <v>2</v>
      </c>
      <c r="AA234" s="985">
        <f t="shared" ca="1" si="63"/>
        <v>0</v>
      </c>
      <c r="AB234" s="987" t="str">
        <f t="shared" ca="1" si="64"/>
        <v>0-2-0</v>
      </c>
    </row>
    <row r="235" spans="1:28" ht="15" customHeight="1" x14ac:dyDescent="0.2">
      <c r="A235" s="406" t="s">
        <v>0</v>
      </c>
      <c r="B235" s="406" t="s">
        <v>40</v>
      </c>
      <c r="C235" s="406" t="s">
        <v>47</v>
      </c>
      <c r="D235" s="973" t="s">
        <v>10</v>
      </c>
      <c r="E235" s="406">
        <v>2</v>
      </c>
      <c r="F235" s="100" t="str">
        <f t="shared" si="65"/>
        <v>RISK-12</v>
      </c>
      <c r="G235" s="100">
        <f t="shared" si="62"/>
        <v>5</v>
      </c>
      <c r="H235" s="133">
        <f t="shared" ca="1" si="67"/>
        <v>0</v>
      </c>
      <c r="I235" s="133">
        <f t="shared" ca="1" si="66"/>
        <v>0</v>
      </c>
      <c r="W235" s="983" t="str">
        <f ca="1">AB235&amp;"-"&amp;COUNTIF($AB$2:$AB235,$AB235)</f>
        <v>0-2-0-104</v>
      </c>
      <c r="X235" s="983" t="s">
        <v>47</v>
      </c>
      <c r="Y235" s="985">
        <f t="shared" ca="1" si="69"/>
        <v>0</v>
      </c>
      <c r="Z235" s="988">
        <v>2</v>
      </c>
      <c r="AA235" s="985">
        <f t="shared" ca="1" si="63"/>
        <v>0</v>
      </c>
      <c r="AB235" s="987" t="str">
        <f t="shared" ca="1" si="64"/>
        <v>0-2-0</v>
      </c>
    </row>
    <row r="236" spans="1:28" ht="15" customHeight="1" x14ac:dyDescent="0.2">
      <c r="A236" s="406" t="s">
        <v>0</v>
      </c>
      <c r="B236" s="406" t="s">
        <v>40</v>
      </c>
      <c r="C236" s="406" t="s">
        <v>49</v>
      </c>
      <c r="D236" s="973" t="s">
        <v>11</v>
      </c>
      <c r="E236" s="406">
        <v>2</v>
      </c>
      <c r="F236" s="100" t="str">
        <f t="shared" si="65"/>
        <v>RISK-12</v>
      </c>
      <c r="G236" s="100">
        <f t="shared" si="62"/>
        <v>5</v>
      </c>
      <c r="H236" s="133">
        <f t="shared" ca="1" si="67"/>
        <v>0</v>
      </c>
      <c r="I236" s="133">
        <f t="shared" ca="1" si="66"/>
        <v>0</v>
      </c>
      <c r="W236" s="983" t="str">
        <f ca="1">AB236&amp;"-"&amp;COUNTIF($AB$2:$AB236,$AB236)</f>
        <v>0-2-0-105</v>
      </c>
      <c r="X236" s="983" t="s">
        <v>49</v>
      </c>
      <c r="Y236" s="985">
        <f t="shared" ca="1" si="69"/>
        <v>0</v>
      </c>
      <c r="Z236" s="988">
        <v>2</v>
      </c>
      <c r="AA236" s="985">
        <f t="shared" ca="1" si="63"/>
        <v>0</v>
      </c>
      <c r="AB236" s="987" t="str">
        <f t="shared" ca="1" si="64"/>
        <v>0-2-0</v>
      </c>
    </row>
    <row r="237" spans="1:28" ht="15" customHeight="1" x14ac:dyDescent="0.2">
      <c r="A237" s="406" t="s">
        <v>0</v>
      </c>
      <c r="B237" s="406" t="s">
        <v>40</v>
      </c>
      <c r="C237" s="406" t="s">
        <v>51</v>
      </c>
      <c r="D237" s="973" t="s">
        <v>12</v>
      </c>
      <c r="E237" s="406">
        <v>3</v>
      </c>
      <c r="F237" s="100" t="str">
        <f t="shared" si="65"/>
        <v>RISK-13</v>
      </c>
      <c r="G237" s="100">
        <f t="shared" si="62"/>
        <v>2</v>
      </c>
      <c r="H237" s="133">
        <f t="shared" ca="1" si="67"/>
        <v>0</v>
      </c>
      <c r="I237" s="133">
        <f t="shared" ref="I237:I238" ca="1" si="70">IFERROR(IF(H237&gt;2,1,0),0)</f>
        <v>0</v>
      </c>
      <c r="W237" s="983" t="str">
        <f ca="1">AB237&amp;"-"&amp;COUNTIF($AB$2:$AB237,$AB237)</f>
        <v>0-3-0-53</v>
      </c>
      <c r="X237" s="983" t="s">
        <v>51</v>
      </c>
      <c r="Y237" s="985">
        <f t="shared" ca="1" si="69"/>
        <v>0</v>
      </c>
      <c r="Z237" s="988">
        <v>3</v>
      </c>
      <c r="AA237" s="985">
        <f t="shared" ca="1" si="63"/>
        <v>0</v>
      </c>
      <c r="AB237" s="987" t="str">
        <f t="shared" ca="1" si="64"/>
        <v>0-3-0</v>
      </c>
    </row>
    <row r="238" spans="1:28" ht="15" customHeight="1" x14ac:dyDescent="0.2">
      <c r="A238" s="406" t="s">
        <v>0</v>
      </c>
      <c r="B238" s="406" t="s">
        <v>40</v>
      </c>
      <c r="C238" s="406" t="s">
        <v>53</v>
      </c>
      <c r="D238" s="973" t="s">
        <v>13</v>
      </c>
      <c r="E238" s="406">
        <v>3</v>
      </c>
      <c r="F238" s="100" t="str">
        <f t="shared" si="65"/>
        <v>RISK-13</v>
      </c>
      <c r="G238" s="100">
        <f t="shared" si="62"/>
        <v>2</v>
      </c>
      <c r="H238" s="133">
        <f t="shared" ca="1" si="67"/>
        <v>0</v>
      </c>
      <c r="I238" s="133">
        <f t="shared" ca="1" si="70"/>
        <v>0</v>
      </c>
      <c r="W238" s="983" t="str">
        <f ca="1">AB238&amp;"-"&amp;COUNTIF($AB$2:$AB238,$AB238)</f>
        <v>0-3-0-54</v>
      </c>
      <c r="X238" s="983" t="s">
        <v>53</v>
      </c>
      <c r="Y238" s="985">
        <f t="shared" ca="1" si="69"/>
        <v>0</v>
      </c>
      <c r="Z238" s="988">
        <v>3</v>
      </c>
      <c r="AA238" s="985">
        <f t="shared" ca="1" si="63"/>
        <v>0</v>
      </c>
      <c r="AB238" s="987" t="str">
        <f t="shared" ca="1" si="64"/>
        <v>0-3-0</v>
      </c>
    </row>
    <row r="239" spans="1:28" ht="15" customHeight="1" x14ac:dyDescent="0.2">
      <c r="A239" s="406" t="s">
        <v>0</v>
      </c>
      <c r="B239" s="406" t="s">
        <v>44</v>
      </c>
      <c r="C239" s="406" t="s">
        <v>58</v>
      </c>
      <c r="D239" s="973" t="s">
        <v>17</v>
      </c>
      <c r="E239" s="406">
        <v>1</v>
      </c>
      <c r="F239" s="100" t="str">
        <f t="shared" si="65"/>
        <v>RISK-21</v>
      </c>
      <c r="G239" s="100">
        <f t="shared" si="62"/>
        <v>1</v>
      </c>
      <c r="H239" s="133">
        <f t="shared" ca="1" si="67"/>
        <v>0</v>
      </c>
      <c r="I239" s="133">
        <f t="shared" ca="1" si="66"/>
        <v>0</v>
      </c>
      <c r="W239" s="983" t="str">
        <f ca="1">AB239&amp;"-"&amp;COUNTIF($AB$2:$AB239,$AB239)</f>
        <v>0-1-0-42</v>
      </c>
      <c r="X239" s="983" t="s">
        <v>58</v>
      </c>
      <c r="Y239" s="985">
        <f t="shared" ca="1" si="69"/>
        <v>0</v>
      </c>
      <c r="Z239" s="988">
        <v>1</v>
      </c>
      <c r="AA239" s="985">
        <f t="shared" ca="1" si="63"/>
        <v>0</v>
      </c>
      <c r="AB239" s="987" t="str">
        <f t="shared" ca="1" si="64"/>
        <v>0-1-0</v>
      </c>
    </row>
    <row r="240" spans="1:28" ht="15" customHeight="1" x14ac:dyDescent="0.2">
      <c r="A240" s="406" t="s">
        <v>0</v>
      </c>
      <c r="B240" s="406" t="s">
        <v>44</v>
      </c>
      <c r="C240" s="406" t="s">
        <v>60</v>
      </c>
      <c r="D240" s="973" t="s">
        <v>18</v>
      </c>
      <c r="E240" s="406">
        <v>2</v>
      </c>
      <c r="F240" s="100" t="str">
        <f t="shared" si="65"/>
        <v>RISK-22</v>
      </c>
      <c r="G240" s="100">
        <f t="shared" si="62"/>
        <v>6</v>
      </c>
      <c r="H240" s="133">
        <f t="shared" ca="1" si="67"/>
        <v>0</v>
      </c>
      <c r="I240" s="133">
        <f t="shared" ca="1" si="66"/>
        <v>0</v>
      </c>
      <c r="W240" s="983" t="str">
        <f ca="1">AB240&amp;"-"&amp;COUNTIF($AB$2:$AB240,$AB240)</f>
        <v>0-2-0-106</v>
      </c>
      <c r="X240" s="983" t="s">
        <v>60</v>
      </c>
      <c r="Y240" s="985">
        <f t="shared" ca="1" si="69"/>
        <v>0</v>
      </c>
      <c r="Z240" s="988">
        <v>2</v>
      </c>
      <c r="AA240" s="985">
        <f t="shared" ca="1" si="63"/>
        <v>0</v>
      </c>
      <c r="AB240" s="987" t="str">
        <f t="shared" ca="1" si="64"/>
        <v>0-2-0</v>
      </c>
    </row>
    <row r="241" spans="1:28" ht="15" customHeight="1" x14ac:dyDescent="0.2">
      <c r="A241" s="406" t="s">
        <v>0</v>
      </c>
      <c r="B241" s="406" t="s">
        <v>44</v>
      </c>
      <c r="C241" s="406" t="s">
        <v>62</v>
      </c>
      <c r="D241" s="973" t="s">
        <v>19</v>
      </c>
      <c r="E241" s="406">
        <v>2</v>
      </c>
      <c r="F241" s="100" t="str">
        <f t="shared" si="65"/>
        <v>RISK-22</v>
      </c>
      <c r="G241" s="100">
        <f t="shared" si="62"/>
        <v>6</v>
      </c>
      <c r="H241" s="133">
        <f t="shared" ca="1" si="67"/>
        <v>0</v>
      </c>
      <c r="I241" s="133">
        <f t="shared" ca="1" si="66"/>
        <v>0</v>
      </c>
      <c r="W241" s="983" t="str">
        <f ca="1">AB241&amp;"-"&amp;COUNTIF($AB$2:$AB241,$AB241)</f>
        <v>0-2-0-107</v>
      </c>
      <c r="X241" s="983" t="s">
        <v>62</v>
      </c>
      <c r="Y241" s="985">
        <f t="shared" ca="1" si="69"/>
        <v>0</v>
      </c>
      <c r="Z241" s="988">
        <v>2</v>
      </c>
      <c r="AA241" s="985">
        <f t="shared" ca="1" si="63"/>
        <v>0</v>
      </c>
      <c r="AB241" s="987" t="str">
        <f t="shared" ca="1" si="64"/>
        <v>0-2-0</v>
      </c>
    </row>
    <row r="242" spans="1:28" ht="15" customHeight="1" x14ac:dyDescent="0.2">
      <c r="A242" s="406" t="s">
        <v>0</v>
      </c>
      <c r="B242" s="406" t="s">
        <v>44</v>
      </c>
      <c r="C242" s="406" t="s">
        <v>65</v>
      </c>
      <c r="D242" s="973" t="s">
        <v>20</v>
      </c>
      <c r="E242" s="406">
        <v>2</v>
      </c>
      <c r="F242" s="100" t="str">
        <f t="shared" si="65"/>
        <v>RISK-22</v>
      </c>
      <c r="G242" s="100">
        <f t="shared" si="62"/>
        <v>6</v>
      </c>
      <c r="H242" s="133">
        <f t="shared" ca="1" si="67"/>
        <v>0</v>
      </c>
      <c r="I242" s="133">
        <f t="shared" ca="1" si="66"/>
        <v>0</v>
      </c>
      <c r="W242" s="983" t="str">
        <f ca="1">AB242&amp;"-"&amp;COUNTIF($AB$2:$AB242,$AB242)</f>
        <v>0-2-0-108</v>
      </c>
      <c r="X242" s="983" t="s">
        <v>65</v>
      </c>
      <c r="Y242" s="985">
        <f t="shared" ca="1" si="69"/>
        <v>0</v>
      </c>
      <c r="Z242" s="988">
        <v>2</v>
      </c>
      <c r="AA242" s="985">
        <f t="shared" ca="1" si="63"/>
        <v>0</v>
      </c>
      <c r="AB242" s="987" t="str">
        <f t="shared" ca="1" si="64"/>
        <v>0-2-0</v>
      </c>
    </row>
    <row r="243" spans="1:28" ht="15" customHeight="1" x14ac:dyDescent="0.2">
      <c r="A243" s="406" t="s">
        <v>0</v>
      </c>
      <c r="B243" s="406" t="s">
        <v>44</v>
      </c>
      <c r="C243" s="406" t="s">
        <v>68</v>
      </c>
      <c r="D243" s="973" t="s">
        <v>21</v>
      </c>
      <c r="E243" s="406">
        <v>2</v>
      </c>
      <c r="F243" s="100" t="str">
        <f t="shared" si="65"/>
        <v>RISK-22</v>
      </c>
      <c r="G243" s="100">
        <f t="shared" si="62"/>
        <v>6</v>
      </c>
      <c r="H243" s="133">
        <f t="shared" ca="1" si="67"/>
        <v>0</v>
      </c>
      <c r="I243" s="133">
        <f t="shared" ca="1" si="66"/>
        <v>0</v>
      </c>
      <c r="W243" s="983" t="str">
        <f ca="1">AB243&amp;"-"&amp;COUNTIF($AB$2:$AB243,$AB243)</f>
        <v>0-2-0-109</v>
      </c>
      <c r="X243" s="983" t="s">
        <v>68</v>
      </c>
      <c r="Y243" s="985">
        <f t="shared" ca="1" si="69"/>
        <v>0</v>
      </c>
      <c r="Z243" s="988">
        <v>2</v>
      </c>
      <c r="AA243" s="985">
        <f t="shared" ca="1" si="63"/>
        <v>0</v>
      </c>
      <c r="AB243" s="987" t="str">
        <f t="shared" ca="1" si="64"/>
        <v>0-2-0</v>
      </c>
    </row>
    <row r="244" spans="1:28" ht="15" customHeight="1" x14ac:dyDescent="0.2">
      <c r="A244" s="406" t="s">
        <v>0</v>
      </c>
      <c r="B244" s="406" t="s">
        <v>44</v>
      </c>
      <c r="C244" s="406" t="s">
        <v>945</v>
      </c>
      <c r="D244" s="973" t="s">
        <v>103</v>
      </c>
      <c r="E244" s="406">
        <v>2</v>
      </c>
      <c r="F244" s="100" t="str">
        <f t="shared" si="65"/>
        <v>RISK-22</v>
      </c>
      <c r="G244" s="100">
        <f t="shared" si="62"/>
        <v>6</v>
      </c>
      <c r="H244" s="133">
        <f t="shared" ca="1" si="67"/>
        <v>0</v>
      </c>
      <c r="I244" s="133">
        <f t="shared" ca="1" si="66"/>
        <v>0</v>
      </c>
      <c r="W244" s="983" t="str">
        <f ca="1">AB244&amp;"-"&amp;COUNTIF($AB$2:$AB244,$AB244)</f>
        <v>0-2-0-110</v>
      </c>
      <c r="X244" s="983" t="s">
        <v>945</v>
      </c>
      <c r="Y244" s="985">
        <f t="shared" ca="1" si="69"/>
        <v>0</v>
      </c>
      <c r="Z244" s="988">
        <v>2</v>
      </c>
      <c r="AA244" s="985">
        <f t="shared" ca="1" si="63"/>
        <v>0</v>
      </c>
      <c r="AB244" s="987" t="str">
        <f t="shared" ca="1" si="64"/>
        <v>0-2-0</v>
      </c>
    </row>
    <row r="245" spans="1:28" ht="15" customHeight="1" x14ac:dyDescent="0.2">
      <c r="A245" s="406" t="s">
        <v>0</v>
      </c>
      <c r="B245" s="406" t="s">
        <v>44</v>
      </c>
      <c r="C245" s="406" t="s">
        <v>946</v>
      </c>
      <c r="D245" s="973" t="s">
        <v>165</v>
      </c>
      <c r="E245" s="406">
        <v>2</v>
      </c>
      <c r="F245" s="100" t="str">
        <f t="shared" si="65"/>
        <v>RISK-22</v>
      </c>
      <c r="G245" s="100">
        <f t="shared" si="62"/>
        <v>6</v>
      </c>
      <c r="H245" s="133">
        <f t="shared" ca="1" si="67"/>
        <v>0</v>
      </c>
      <c r="I245" s="133">
        <f t="shared" ca="1" si="66"/>
        <v>0</v>
      </c>
      <c r="W245" s="983" t="str">
        <f ca="1">AB245&amp;"-"&amp;COUNTIF($AB$2:$AB245,$AB245)</f>
        <v>0-2-0-111</v>
      </c>
      <c r="X245" s="983" t="s">
        <v>946</v>
      </c>
      <c r="Y245" s="985">
        <f t="shared" ca="1" si="69"/>
        <v>0</v>
      </c>
      <c r="Z245" s="988">
        <v>2</v>
      </c>
      <c r="AA245" s="985">
        <f t="shared" ca="1" si="63"/>
        <v>0</v>
      </c>
      <c r="AB245" s="987" t="str">
        <f t="shared" ca="1" si="64"/>
        <v>0-2-0</v>
      </c>
    </row>
    <row r="246" spans="1:28" ht="15" customHeight="1" x14ac:dyDescent="0.2">
      <c r="A246" s="406" t="s">
        <v>0</v>
      </c>
      <c r="B246" s="406" t="s">
        <v>44</v>
      </c>
      <c r="C246" s="406" t="s">
        <v>947</v>
      </c>
      <c r="D246" s="973" t="s">
        <v>167</v>
      </c>
      <c r="E246" s="406">
        <v>3</v>
      </c>
      <c r="F246" s="100" t="str">
        <f t="shared" si="65"/>
        <v>RISK-23</v>
      </c>
      <c r="G246" s="100">
        <f t="shared" si="62"/>
        <v>6</v>
      </c>
      <c r="H246" s="133">
        <f t="shared" ca="1" si="67"/>
        <v>0</v>
      </c>
      <c r="I246" s="133">
        <f t="shared" ca="1" si="66"/>
        <v>0</v>
      </c>
      <c r="W246" s="983" t="str">
        <f ca="1">AB246&amp;"-"&amp;COUNTIF($AB$2:$AB246,$AB246)</f>
        <v>0-3-0-55</v>
      </c>
      <c r="X246" s="983" t="s">
        <v>947</v>
      </c>
      <c r="Y246" s="985">
        <f t="shared" ref="Y246:Y277" ca="1" si="71">VLOOKUP(LEFT($X246,LEN($X246)-1),$K:$O,5,FALSE)</f>
        <v>0</v>
      </c>
      <c r="Z246" s="988">
        <v>3</v>
      </c>
      <c r="AA246" s="985">
        <f t="shared" ca="1" si="63"/>
        <v>0</v>
      </c>
      <c r="AB246" s="987" t="str">
        <f t="shared" ca="1" si="64"/>
        <v>0-3-0</v>
      </c>
    </row>
    <row r="247" spans="1:28" ht="15" customHeight="1" x14ac:dyDescent="0.2">
      <c r="A247" s="406" t="s">
        <v>0</v>
      </c>
      <c r="B247" s="406" t="s">
        <v>44</v>
      </c>
      <c r="C247" s="406" t="s">
        <v>948</v>
      </c>
      <c r="D247" s="973" t="s">
        <v>198</v>
      </c>
      <c r="E247" s="406">
        <v>3</v>
      </c>
      <c r="F247" s="100" t="str">
        <f t="shared" si="65"/>
        <v>RISK-23</v>
      </c>
      <c r="G247" s="100">
        <f t="shared" si="62"/>
        <v>6</v>
      </c>
      <c r="H247" s="133">
        <f t="shared" ca="1" si="67"/>
        <v>0</v>
      </c>
      <c r="I247" s="133">
        <f t="shared" ca="1" si="66"/>
        <v>0</v>
      </c>
      <c r="W247" s="983" t="str">
        <f ca="1">AB247&amp;"-"&amp;COUNTIF($AB$2:$AB247,$AB247)</f>
        <v>0-3-0-56</v>
      </c>
      <c r="X247" s="983" t="s">
        <v>948</v>
      </c>
      <c r="Y247" s="985">
        <f t="shared" ca="1" si="71"/>
        <v>0</v>
      </c>
      <c r="Z247" s="988">
        <v>3</v>
      </c>
      <c r="AA247" s="985">
        <f t="shared" ca="1" si="63"/>
        <v>0</v>
      </c>
      <c r="AB247" s="987" t="str">
        <f t="shared" ca="1" si="64"/>
        <v>0-3-0</v>
      </c>
    </row>
    <row r="248" spans="1:28" ht="15" customHeight="1" x14ac:dyDescent="0.2">
      <c r="A248" s="406" t="s">
        <v>0</v>
      </c>
      <c r="B248" s="406" t="s">
        <v>44</v>
      </c>
      <c r="C248" s="406" t="s">
        <v>949</v>
      </c>
      <c r="D248" s="973" t="s">
        <v>200</v>
      </c>
      <c r="E248" s="406">
        <v>3</v>
      </c>
      <c r="F248" s="100" t="str">
        <f t="shared" si="65"/>
        <v>RISK-23</v>
      </c>
      <c r="G248" s="100">
        <f t="shared" si="62"/>
        <v>6</v>
      </c>
      <c r="H248" s="133">
        <f t="shared" ca="1" si="67"/>
        <v>0</v>
      </c>
      <c r="I248" s="133">
        <f t="shared" ca="1" si="66"/>
        <v>0</v>
      </c>
      <c r="W248" s="983" t="str">
        <f ca="1">AB248&amp;"-"&amp;COUNTIF($AB$2:$AB248,$AB248)</f>
        <v>0-3-0-57</v>
      </c>
      <c r="X248" s="983" t="s">
        <v>949</v>
      </c>
      <c r="Y248" s="985">
        <f t="shared" ca="1" si="71"/>
        <v>0</v>
      </c>
      <c r="Z248" s="988">
        <v>3</v>
      </c>
      <c r="AA248" s="985">
        <f t="shared" ca="1" si="63"/>
        <v>0</v>
      </c>
      <c r="AB248" s="987" t="str">
        <f t="shared" ca="1" si="64"/>
        <v>0-3-0</v>
      </c>
    </row>
    <row r="249" spans="1:28" ht="15" customHeight="1" x14ac:dyDescent="0.2">
      <c r="A249" s="406" t="s">
        <v>0</v>
      </c>
      <c r="B249" s="406" t="s">
        <v>44</v>
      </c>
      <c r="C249" s="406" t="s">
        <v>950</v>
      </c>
      <c r="D249" s="973" t="s">
        <v>202</v>
      </c>
      <c r="E249" s="406">
        <v>3</v>
      </c>
      <c r="F249" s="100" t="str">
        <f t="shared" si="65"/>
        <v>RISK-23</v>
      </c>
      <c r="G249" s="100">
        <f t="shared" si="62"/>
        <v>6</v>
      </c>
      <c r="H249" s="133">
        <f t="shared" ca="1" si="67"/>
        <v>0</v>
      </c>
      <c r="I249" s="133">
        <f t="shared" ca="1" si="66"/>
        <v>0</v>
      </c>
      <c r="W249" s="983" t="str">
        <f ca="1">AB249&amp;"-"&amp;COUNTIF($AB$2:$AB249,$AB249)</f>
        <v>0-3-0-58</v>
      </c>
      <c r="X249" s="983" t="s">
        <v>950</v>
      </c>
      <c r="Y249" s="985">
        <f t="shared" ca="1" si="71"/>
        <v>0</v>
      </c>
      <c r="Z249" s="988">
        <v>3</v>
      </c>
      <c r="AA249" s="985">
        <f t="shared" ca="1" si="63"/>
        <v>0</v>
      </c>
      <c r="AB249" s="987" t="str">
        <f t="shared" ca="1" si="64"/>
        <v>0-3-0</v>
      </c>
    </row>
    <row r="250" spans="1:28" ht="15" customHeight="1" x14ac:dyDescent="0.2">
      <c r="A250" s="406" t="s">
        <v>0</v>
      </c>
      <c r="B250" s="406" t="s">
        <v>44</v>
      </c>
      <c r="C250" s="406" t="s">
        <v>951</v>
      </c>
      <c r="D250" s="973" t="s">
        <v>203</v>
      </c>
      <c r="E250" s="406">
        <v>3</v>
      </c>
      <c r="F250" s="100" t="str">
        <f t="shared" si="65"/>
        <v>RISK-23</v>
      </c>
      <c r="G250" s="100">
        <f t="shared" si="62"/>
        <v>6</v>
      </c>
      <c r="H250" s="133">
        <f t="shared" ca="1" si="67"/>
        <v>0</v>
      </c>
      <c r="I250" s="133">
        <f t="shared" ca="1" si="66"/>
        <v>0</v>
      </c>
      <c r="W250" s="983" t="str">
        <f ca="1">AB250&amp;"-"&amp;COUNTIF($AB$2:$AB250,$AB250)</f>
        <v>0-3-0-59</v>
      </c>
      <c r="X250" s="983" t="s">
        <v>951</v>
      </c>
      <c r="Y250" s="985">
        <f t="shared" ca="1" si="71"/>
        <v>0</v>
      </c>
      <c r="Z250" s="988">
        <v>3</v>
      </c>
      <c r="AA250" s="985">
        <f t="shared" ca="1" si="63"/>
        <v>0</v>
      </c>
      <c r="AB250" s="987" t="str">
        <f t="shared" ca="1" si="64"/>
        <v>0-3-0</v>
      </c>
    </row>
    <row r="251" spans="1:28" ht="15" customHeight="1" x14ac:dyDescent="0.2">
      <c r="A251" s="406" t="s">
        <v>0</v>
      </c>
      <c r="B251" s="406" t="s">
        <v>44</v>
      </c>
      <c r="C251" s="406" t="s">
        <v>952</v>
      </c>
      <c r="D251" s="973" t="s">
        <v>204</v>
      </c>
      <c r="E251" s="406">
        <v>3</v>
      </c>
      <c r="F251" s="100" t="str">
        <f t="shared" si="65"/>
        <v>RISK-23</v>
      </c>
      <c r="G251" s="100">
        <f t="shared" si="62"/>
        <v>6</v>
      </c>
      <c r="H251" s="133">
        <f t="shared" ca="1" si="67"/>
        <v>0</v>
      </c>
      <c r="I251" s="133">
        <f t="shared" ca="1" si="66"/>
        <v>0</v>
      </c>
      <c r="W251" s="983" t="str">
        <f ca="1">AB251&amp;"-"&amp;COUNTIF($AB$2:$AB251,$AB251)</f>
        <v>0-3-0-60</v>
      </c>
      <c r="X251" s="983" t="s">
        <v>952</v>
      </c>
      <c r="Y251" s="985">
        <f t="shared" ca="1" si="71"/>
        <v>0</v>
      </c>
      <c r="Z251" s="988">
        <v>3</v>
      </c>
      <c r="AA251" s="985">
        <f t="shared" ca="1" si="63"/>
        <v>0</v>
      </c>
      <c r="AB251" s="987" t="str">
        <f t="shared" ca="1" si="64"/>
        <v>0-3-0</v>
      </c>
    </row>
    <row r="252" spans="1:28" ht="15" customHeight="1" x14ac:dyDescent="0.2">
      <c r="A252" s="406" t="s">
        <v>0</v>
      </c>
      <c r="B252" s="406" t="s">
        <v>46</v>
      </c>
      <c r="C252" s="406" t="s">
        <v>70</v>
      </c>
      <c r="D252" s="973" t="s">
        <v>22</v>
      </c>
      <c r="E252" s="406">
        <v>1</v>
      </c>
      <c r="F252" s="100" t="str">
        <f t="shared" si="65"/>
        <v>RISK-31</v>
      </c>
      <c r="G252" s="100">
        <f t="shared" si="62"/>
        <v>1</v>
      </c>
      <c r="H252" s="133">
        <f t="shared" ca="1" si="67"/>
        <v>0</v>
      </c>
      <c r="I252" s="133">
        <f t="shared" ca="1" si="66"/>
        <v>0</v>
      </c>
      <c r="W252" s="983" t="str">
        <f ca="1">AB252&amp;"-"&amp;COUNTIF($AB$2:$AB252,$AB252)</f>
        <v>0-1-0-43</v>
      </c>
      <c r="X252" s="983" t="s">
        <v>70</v>
      </c>
      <c r="Y252" s="985">
        <f t="shared" ca="1" si="71"/>
        <v>0</v>
      </c>
      <c r="Z252" s="988">
        <v>1</v>
      </c>
      <c r="AA252" s="985">
        <f t="shared" ca="1" si="63"/>
        <v>0</v>
      </c>
      <c r="AB252" s="987" t="str">
        <f t="shared" ca="1" si="64"/>
        <v>0-1-0</v>
      </c>
    </row>
    <row r="253" spans="1:28" ht="15" customHeight="1" x14ac:dyDescent="0.2">
      <c r="A253" s="406" t="s">
        <v>0</v>
      </c>
      <c r="B253" s="406" t="s">
        <v>46</v>
      </c>
      <c r="C253" s="406" t="s">
        <v>72</v>
      </c>
      <c r="D253" s="973" t="s">
        <v>23</v>
      </c>
      <c r="E253" s="406">
        <v>2</v>
      </c>
      <c r="F253" s="100" t="str">
        <f t="shared" si="65"/>
        <v>RISK-32</v>
      </c>
      <c r="G253" s="100">
        <f t="shared" si="62"/>
        <v>5</v>
      </c>
      <c r="H253" s="133">
        <f t="shared" ca="1" si="67"/>
        <v>0</v>
      </c>
      <c r="I253" s="133">
        <f t="shared" ca="1" si="66"/>
        <v>0</v>
      </c>
      <c r="W253" s="983" t="str">
        <f ca="1">AB253&amp;"-"&amp;COUNTIF($AB$2:$AB253,$AB253)</f>
        <v>0-2-0-112</v>
      </c>
      <c r="X253" s="983" t="s">
        <v>72</v>
      </c>
      <c r="Y253" s="985">
        <f t="shared" ca="1" si="71"/>
        <v>0</v>
      </c>
      <c r="Z253" s="988">
        <v>2</v>
      </c>
      <c r="AA253" s="985">
        <f t="shared" ca="1" si="63"/>
        <v>0</v>
      </c>
      <c r="AB253" s="987" t="str">
        <f t="shared" ca="1" si="64"/>
        <v>0-2-0</v>
      </c>
    </row>
    <row r="254" spans="1:28" ht="15" customHeight="1" x14ac:dyDescent="0.2">
      <c r="A254" s="406" t="s">
        <v>0</v>
      </c>
      <c r="B254" s="406" t="s">
        <v>46</v>
      </c>
      <c r="C254" s="406" t="s">
        <v>75</v>
      </c>
      <c r="D254" s="973" t="s">
        <v>24</v>
      </c>
      <c r="E254" s="406">
        <v>2</v>
      </c>
      <c r="F254" s="100" t="str">
        <f t="shared" si="65"/>
        <v>RISK-32</v>
      </c>
      <c r="G254" s="100">
        <f t="shared" si="62"/>
        <v>5</v>
      </c>
      <c r="H254" s="133">
        <f t="shared" ca="1" si="67"/>
        <v>0</v>
      </c>
      <c r="I254" s="133">
        <f t="shared" ca="1" si="66"/>
        <v>0</v>
      </c>
      <c r="W254" s="983" t="str">
        <f ca="1">AB254&amp;"-"&amp;COUNTIF($AB$2:$AB254,$AB254)</f>
        <v>0-2-0-113</v>
      </c>
      <c r="X254" s="983" t="s">
        <v>75</v>
      </c>
      <c r="Y254" s="985">
        <f t="shared" ca="1" si="71"/>
        <v>0</v>
      </c>
      <c r="Z254" s="988">
        <v>2</v>
      </c>
      <c r="AA254" s="985">
        <f t="shared" ca="1" si="63"/>
        <v>0</v>
      </c>
      <c r="AB254" s="987" t="str">
        <f t="shared" ca="1" si="64"/>
        <v>0-2-0</v>
      </c>
    </row>
    <row r="255" spans="1:28" ht="15" customHeight="1" x14ac:dyDescent="0.2">
      <c r="A255" s="406" t="s">
        <v>0</v>
      </c>
      <c r="B255" s="406" t="s">
        <v>46</v>
      </c>
      <c r="C255" s="406" t="s">
        <v>78</v>
      </c>
      <c r="D255" s="973" t="s">
        <v>25</v>
      </c>
      <c r="E255" s="406">
        <v>2</v>
      </c>
      <c r="F255" s="100" t="str">
        <f t="shared" si="65"/>
        <v>RISK-32</v>
      </c>
      <c r="G255" s="100">
        <f t="shared" si="62"/>
        <v>5</v>
      </c>
      <c r="H255" s="133">
        <f t="shared" ca="1" si="67"/>
        <v>0</v>
      </c>
      <c r="I255" s="133">
        <f t="shared" ca="1" si="66"/>
        <v>0</v>
      </c>
      <c r="W255" s="983" t="str">
        <f ca="1">AB255&amp;"-"&amp;COUNTIF($AB$2:$AB255,$AB255)</f>
        <v>0-2-0-114</v>
      </c>
      <c r="X255" s="983" t="s">
        <v>78</v>
      </c>
      <c r="Y255" s="985">
        <f t="shared" ca="1" si="71"/>
        <v>0</v>
      </c>
      <c r="Z255" s="988">
        <v>2</v>
      </c>
      <c r="AA255" s="985">
        <f t="shared" ca="1" si="63"/>
        <v>0</v>
      </c>
      <c r="AB255" s="987" t="str">
        <f t="shared" ca="1" si="64"/>
        <v>0-2-0</v>
      </c>
    </row>
    <row r="256" spans="1:28" ht="15" customHeight="1" x14ac:dyDescent="0.2">
      <c r="A256" s="406" t="s">
        <v>0</v>
      </c>
      <c r="B256" s="406" t="s">
        <v>46</v>
      </c>
      <c r="C256" s="406" t="s">
        <v>80</v>
      </c>
      <c r="D256" s="973" t="s">
        <v>26</v>
      </c>
      <c r="E256" s="406">
        <v>2</v>
      </c>
      <c r="F256" s="100" t="str">
        <f t="shared" si="65"/>
        <v>RISK-32</v>
      </c>
      <c r="G256" s="100">
        <f t="shared" si="62"/>
        <v>5</v>
      </c>
      <c r="H256" s="133">
        <f t="shared" ca="1" si="67"/>
        <v>0</v>
      </c>
      <c r="I256" s="133">
        <f t="shared" ca="1" si="66"/>
        <v>0</v>
      </c>
      <c r="W256" s="983" t="str">
        <f ca="1">AB256&amp;"-"&amp;COUNTIF($AB$2:$AB256,$AB256)</f>
        <v>0-2-0-115</v>
      </c>
      <c r="X256" s="983" t="s">
        <v>80</v>
      </c>
      <c r="Y256" s="985">
        <f t="shared" ca="1" si="71"/>
        <v>0</v>
      </c>
      <c r="Z256" s="988">
        <v>2</v>
      </c>
      <c r="AA256" s="985">
        <f t="shared" ca="1" si="63"/>
        <v>0</v>
      </c>
      <c r="AB256" s="987" t="str">
        <f t="shared" ca="1" si="64"/>
        <v>0-2-0</v>
      </c>
    </row>
    <row r="257" spans="1:28" ht="15" customHeight="1" x14ac:dyDescent="0.2">
      <c r="A257" s="406" t="s">
        <v>0</v>
      </c>
      <c r="B257" s="406" t="s">
        <v>46</v>
      </c>
      <c r="C257" s="406" t="s">
        <v>82</v>
      </c>
      <c r="D257" s="973" t="s">
        <v>27</v>
      </c>
      <c r="E257" s="406">
        <v>2</v>
      </c>
      <c r="F257" s="100" t="str">
        <f t="shared" si="65"/>
        <v>RISK-32</v>
      </c>
      <c r="G257" s="100">
        <f t="shared" si="62"/>
        <v>5</v>
      </c>
      <c r="H257" s="133">
        <f t="shared" ca="1" si="67"/>
        <v>0</v>
      </c>
      <c r="I257" s="133">
        <f t="shared" ca="1" si="66"/>
        <v>0</v>
      </c>
      <c r="W257" s="983" t="str">
        <f ca="1">AB257&amp;"-"&amp;COUNTIF($AB$2:$AB257,$AB257)</f>
        <v>0-2-0-116</v>
      </c>
      <c r="X257" s="983" t="s">
        <v>82</v>
      </c>
      <c r="Y257" s="985">
        <f t="shared" ca="1" si="71"/>
        <v>0</v>
      </c>
      <c r="Z257" s="988">
        <v>2</v>
      </c>
      <c r="AA257" s="985">
        <f t="shared" ca="1" si="63"/>
        <v>0</v>
      </c>
      <c r="AB257" s="987" t="str">
        <f t="shared" ca="1" si="64"/>
        <v>0-2-0</v>
      </c>
    </row>
    <row r="258" spans="1:28" ht="15" customHeight="1" x14ac:dyDescent="0.2">
      <c r="A258" s="406" t="s">
        <v>0</v>
      </c>
      <c r="B258" s="406" t="s">
        <v>46</v>
      </c>
      <c r="C258" s="406" t="s">
        <v>84</v>
      </c>
      <c r="D258" s="973" t="s">
        <v>28</v>
      </c>
      <c r="E258" s="406">
        <v>3</v>
      </c>
      <c r="F258" s="100" t="str">
        <f t="shared" si="65"/>
        <v>RISK-33</v>
      </c>
      <c r="G258" s="100">
        <f t="shared" ref="G258:G321" si="72">COUNTIF($F:$F,$F258)</f>
        <v>1</v>
      </c>
      <c r="H258" s="133">
        <f t="shared" ca="1" si="67"/>
        <v>0</v>
      </c>
      <c r="I258" s="133">
        <f t="shared" ca="1" si="66"/>
        <v>0</v>
      </c>
      <c r="W258" s="983" t="str">
        <f ca="1">AB258&amp;"-"&amp;COUNTIF($AB$2:$AB258,$AB258)</f>
        <v>0-3-0-61</v>
      </c>
      <c r="X258" s="983" t="s">
        <v>84</v>
      </c>
      <c r="Y258" s="985">
        <f t="shared" ca="1" si="71"/>
        <v>0</v>
      </c>
      <c r="Z258" s="988">
        <v>3</v>
      </c>
      <c r="AA258" s="985">
        <f t="shared" ref="AA258:AA321" ca="1" si="73">VLOOKUP(X258,C:I,7,FALSE)</f>
        <v>0</v>
      </c>
      <c r="AB258" s="987" t="str">
        <f t="shared" ca="1" si="64"/>
        <v>0-3-0</v>
      </c>
    </row>
    <row r="259" spans="1:28" ht="15" customHeight="1" x14ac:dyDescent="0.2">
      <c r="A259" s="406" t="s">
        <v>0</v>
      </c>
      <c r="B259" s="406" t="s">
        <v>1015</v>
      </c>
      <c r="C259" s="406" t="s">
        <v>953</v>
      </c>
      <c r="D259" s="973" t="s">
        <v>117</v>
      </c>
      <c r="E259" s="406">
        <v>1</v>
      </c>
      <c r="F259" s="100" t="str">
        <f t="shared" si="65"/>
        <v>RISK-41</v>
      </c>
      <c r="G259" s="100">
        <f t="shared" si="72"/>
        <v>1</v>
      </c>
      <c r="H259" s="133">
        <f t="shared" ca="1" si="67"/>
        <v>0</v>
      </c>
      <c r="I259" s="133">
        <f t="shared" ca="1" si="66"/>
        <v>0</v>
      </c>
      <c r="W259" s="983" t="str">
        <f ca="1">AB259&amp;"-"&amp;COUNTIF($AB$2:$AB259,$AB259)</f>
        <v>0-1-0-44</v>
      </c>
      <c r="X259" s="983" t="s">
        <v>953</v>
      </c>
      <c r="Y259" s="985">
        <f t="shared" ca="1" si="71"/>
        <v>0</v>
      </c>
      <c r="Z259" s="988">
        <v>1</v>
      </c>
      <c r="AA259" s="985">
        <f t="shared" ca="1" si="73"/>
        <v>0</v>
      </c>
      <c r="AB259" s="987" t="str">
        <f t="shared" ca="1" si="64"/>
        <v>0-1-0</v>
      </c>
    </row>
    <row r="260" spans="1:28" ht="15" customHeight="1" x14ac:dyDescent="0.2">
      <c r="A260" s="406" t="s">
        <v>0</v>
      </c>
      <c r="B260" s="406" t="s">
        <v>1015</v>
      </c>
      <c r="C260" s="406" t="s">
        <v>954</v>
      </c>
      <c r="D260" s="973" t="s">
        <v>120</v>
      </c>
      <c r="E260" s="406">
        <v>2</v>
      </c>
      <c r="F260" s="100" t="str">
        <f t="shared" si="65"/>
        <v>RISK-42</v>
      </c>
      <c r="G260" s="100">
        <f t="shared" si="72"/>
        <v>1</v>
      </c>
      <c r="H260" s="133">
        <f t="shared" ca="1" si="67"/>
        <v>0</v>
      </c>
      <c r="I260" s="133">
        <f t="shared" ca="1" si="66"/>
        <v>0</v>
      </c>
      <c r="W260" s="983" t="str">
        <f ca="1">AB260&amp;"-"&amp;COUNTIF($AB$2:$AB260,$AB260)</f>
        <v>0-2-0-117</v>
      </c>
      <c r="X260" s="983" t="s">
        <v>954</v>
      </c>
      <c r="Y260" s="985">
        <f t="shared" ca="1" si="71"/>
        <v>0</v>
      </c>
      <c r="Z260" s="988">
        <v>2</v>
      </c>
      <c r="AA260" s="985">
        <f t="shared" ca="1" si="73"/>
        <v>0</v>
      </c>
      <c r="AB260" s="987" t="str">
        <f t="shared" ref="AB260:AB323" ca="1" si="74">Y260&amp;"-"&amp;Z260&amp;"-"&amp;AA260</f>
        <v>0-2-0</v>
      </c>
    </row>
    <row r="261" spans="1:28" ht="15" customHeight="1" x14ac:dyDescent="0.2">
      <c r="A261" s="406" t="s">
        <v>0</v>
      </c>
      <c r="B261" s="406" t="s">
        <v>1015</v>
      </c>
      <c r="C261" s="406" t="s">
        <v>955</v>
      </c>
      <c r="D261" s="973" t="s">
        <v>123</v>
      </c>
      <c r="E261" s="406">
        <v>3</v>
      </c>
      <c r="F261" s="100" t="str">
        <f t="shared" si="65"/>
        <v>RISK-43</v>
      </c>
      <c r="G261" s="100">
        <f t="shared" si="72"/>
        <v>3</v>
      </c>
      <c r="H261" s="133">
        <f t="shared" ca="1" si="67"/>
        <v>0</v>
      </c>
      <c r="I261" s="133">
        <f t="shared" ca="1" si="66"/>
        <v>0</v>
      </c>
      <c r="W261" s="983" t="str">
        <f ca="1">AB261&amp;"-"&amp;COUNTIF($AB$2:$AB261,$AB261)</f>
        <v>0-3-0-62</v>
      </c>
      <c r="X261" s="983" t="s">
        <v>955</v>
      </c>
      <c r="Y261" s="985">
        <f t="shared" ca="1" si="71"/>
        <v>0</v>
      </c>
      <c r="Z261" s="988">
        <v>3</v>
      </c>
      <c r="AA261" s="985">
        <f t="shared" ca="1" si="73"/>
        <v>0</v>
      </c>
      <c r="AB261" s="987" t="str">
        <f t="shared" ca="1" si="74"/>
        <v>0-3-0</v>
      </c>
    </row>
    <row r="262" spans="1:28" ht="15" customHeight="1" x14ac:dyDescent="0.2">
      <c r="A262" s="406" t="s">
        <v>0</v>
      </c>
      <c r="B262" s="406" t="s">
        <v>1015</v>
      </c>
      <c r="C262" s="406" t="s">
        <v>956</v>
      </c>
      <c r="D262" s="973" t="s">
        <v>126</v>
      </c>
      <c r="E262" s="406">
        <v>3</v>
      </c>
      <c r="F262" s="100" t="str">
        <f t="shared" si="65"/>
        <v>RISK-43</v>
      </c>
      <c r="G262" s="100">
        <f t="shared" si="72"/>
        <v>3</v>
      </c>
      <c r="H262" s="133">
        <f t="shared" ca="1" si="67"/>
        <v>0</v>
      </c>
      <c r="I262" s="133">
        <f t="shared" ca="1" si="66"/>
        <v>0</v>
      </c>
      <c r="W262" s="983" t="str">
        <f ca="1">AB262&amp;"-"&amp;COUNTIF($AB$2:$AB262,$AB262)</f>
        <v>0-3-0-63</v>
      </c>
      <c r="X262" s="983" t="s">
        <v>956</v>
      </c>
      <c r="Y262" s="985">
        <f t="shared" ca="1" si="71"/>
        <v>0</v>
      </c>
      <c r="Z262" s="988">
        <v>3</v>
      </c>
      <c r="AA262" s="985">
        <f t="shared" ca="1" si="73"/>
        <v>0</v>
      </c>
      <c r="AB262" s="987" t="str">
        <f t="shared" ca="1" si="74"/>
        <v>0-3-0</v>
      </c>
    </row>
    <row r="263" spans="1:28" ht="15" customHeight="1" x14ac:dyDescent="0.2">
      <c r="A263" s="406" t="s">
        <v>0</v>
      </c>
      <c r="B263" s="406" t="s">
        <v>1015</v>
      </c>
      <c r="C263" s="406" t="s">
        <v>957</v>
      </c>
      <c r="D263" s="973" t="s">
        <v>129</v>
      </c>
      <c r="E263" s="406">
        <v>3</v>
      </c>
      <c r="F263" s="100" t="str">
        <f t="shared" si="65"/>
        <v>RISK-43</v>
      </c>
      <c r="G263" s="100">
        <f t="shared" si="72"/>
        <v>3</v>
      </c>
      <c r="H263" s="133">
        <f t="shared" ca="1" si="67"/>
        <v>0</v>
      </c>
      <c r="I263" s="133">
        <f t="shared" ca="1" si="66"/>
        <v>0</v>
      </c>
      <c r="W263" s="983" t="str">
        <f ca="1">AB263&amp;"-"&amp;COUNTIF($AB$2:$AB263,$AB263)</f>
        <v>0-3-0-64</v>
      </c>
      <c r="X263" s="983" t="s">
        <v>957</v>
      </c>
      <c r="Y263" s="985">
        <f t="shared" ca="1" si="71"/>
        <v>0</v>
      </c>
      <c r="Z263" s="988">
        <v>3</v>
      </c>
      <c r="AA263" s="985">
        <f t="shared" ca="1" si="73"/>
        <v>0</v>
      </c>
      <c r="AB263" s="987" t="str">
        <f t="shared" ca="1" si="74"/>
        <v>0-3-0</v>
      </c>
    </row>
    <row r="264" spans="1:28" ht="15" customHeight="1" x14ac:dyDescent="0.2">
      <c r="A264" s="406" t="s">
        <v>0</v>
      </c>
      <c r="B264" s="406" t="s">
        <v>1016</v>
      </c>
      <c r="C264" s="406" t="s">
        <v>958</v>
      </c>
      <c r="D264" s="973" t="s">
        <v>134</v>
      </c>
      <c r="E264" s="406">
        <v>2</v>
      </c>
      <c r="F264" s="100" t="str">
        <f t="shared" si="65"/>
        <v>RISK-52</v>
      </c>
      <c r="G264" s="100">
        <f t="shared" si="72"/>
        <v>2</v>
      </c>
      <c r="H264" s="133">
        <f t="shared" ca="1" si="67"/>
        <v>0</v>
      </c>
      <c r="I264" s="133">
        <f t="shared" ca="1" si="66"/>
        <v>0</v>
      </c>
      <c r="W264" s="983" t="str">
        <f ca="1">AB264&amp;"-"&amp;COUNTIF($AB$2:$AB264,$AB264)</f>
        <v>1-2-0-14</v>
      </c>
      <c r="X264" s="983" t="s">
        <v>958</v>
      </c>
      <c r="Y264" s="985">
        <f t="shared" ca="1" si="71"/>
        <v>1</v>
      </c>
      <c r="Z264" s="988">
        <v>2</v>
      </c>
      <c r="AA264" s="985">
        <f t="shared" ca="1" si="73"/>
        <v>0</v>
      </c>
      <c r="AB264" s="987" t="str">
        <f t="shared" ca="1" si="74"/>
        <v>1-2-0</v>
      </c>
    </row>
    <row r="265" spans="1:28" ht="15" customHeight="1" x14ac:dyDescent="0.2">
      <c r="A265" s="406" t="s">
        <v>0</v>
      </c>
      <c r="B265" s="406" t="s">
        <v>1016</v>
      </c>
      <c r="C265" s="406" t="s">
        <v>959</v>
      </c>
      <c r="D265" s="973" t="s">
        <v>137</v>
      </c>
      <c r="E265" s="406">
        <v>2</v>
      </c>
      <c r="F265" s="100" t="str">
        <f t="shared" si="65"/>
        <v>RISK-52</v>
      </c>
      <c r="G265" s="100">
        <f t="shared" si="72"/>
        <v>2</v>
      </c>
      <c r="H265" s="133">
        <f t="shared" ca="1" si="67"/>
        <v>0</v>
      </c>
      <c r="I265" s="133">
        <f t="shared" ca="1" si="66"/>
        <v>0</v>
      </c>
      <c r="W265" s="983" t="str">
        <f ca="1">AB265&amp;"-"&amp;COUNTIF($AB$2:$AB265,$AB265)</f>
        <v>1-2-0-15</v>
      </c>
      <c r="X265" s="983" t="s">
        <v>959</v>
      </c>
      <c r="Y265" s="985">
        <f t="shared" ca="1" si="71"/>
        <v>1</v>
      </c>
      <c r="Z265" s="988">
        <v>2</v>
      </c>
      <c r="AA265" s="985">
        <f t="shared" ca="1" si="73"/>
        <v>0</v>
      </c>
      <c r="AB265" s="987" t="str">
        <f t="shared" ca="1" si="74"/>
        <v>1-2-0</v>
      </c>
    </row>
    <row r="266" spans="1:28" ht="15" customHeight="1" x14ac:dyDescent="0.2">
      <c r="A266" s="406" t="s">
        <v>0</v>
      </c>
      <c r="B266" s="406" t="s">
        <v>1016</v>
      </c>
      <c r="C266" s="406" t="s">
        <v>960</v>
      </c>
      <c r="D266" s="973" t="s">
        <v>140</v>
      </c>
      <c r="E266" s="406">
        <v>3</v>
      </c>
      <c r="F266" s="100" t="str">
        <f t="shared" si="65"/>
        <v>RISK-53</v>
      </c>
      <c r="G266" s="100">
        <f t="shared" si="72"/>
        <v>4</v>
      </c>
      <c r="H266" s="133">
        <f t="shared" ca="1" si="67"/>
        <v>0</v>
      </c>
      <c r="I266" s="133">
        <f t="shared" ca="1" si="66"/>
        <v>0</v>
      </c>
      <c r="W266" s="983" t="str">
        <f ca="1">AB266&amp;"-"&amp;COUNTIF($AB$2:$AB266,$AB266)</f>
        <v>1-3-0-25</v>
      </c>
      <c r="X266" s="983" t="s">
        <v>960</v>
      </c>
      <c r="Y266" s="985">
        <f t="shared" ca="1" si="71"/>
        <v>1</v>
      </c>
      <c r="Z266" s="988">
        <v>3</v>
      </c>
      <c r="AA266" s="985">
        <f t="shared" ca="1" si="73"/>
        <v>0</v>
      </c>
      <c r="AB266" s="987" t="str">
        <f t="shared" ca="1" si="74"/>
        <v>1-3-0</v>
      </c>
    </row>
    <row r="267" spans="1:28" ht="15" customHeight="1" x14ac:dyDescent="0.2">
      <c r="A267" s="406" t="s">
        <v>0</v>
      </c>
      <c r="B267" s="406" t="s">
        <v>1016</v>
      </c>
      <c r="C267" s="406" t="s">
        <v>961</v>
      </c>
      <c r="D267" s="973" t="s">
        <v>142</v>
      </c>
      <c r="E267" s="406">
        <v>3</v>
      </c>
      <c r="F267" s="100" t="str">
        <f t="shared" ref="F267:F332" si="75">CONCATENATE($B267,$E267)</f>
        <v>RISK-53</v>
      </c>
      <c r="G267" s="100">
        <f t="shared" si="72"/>
        <v>4</v>
      </c>
      <c r="H267" s="133">
        <f t="shared" ca="1" si="67"/>
        <v>0</v>
      </c>
      <c r="I267" s="133">
        <f t="shared" ref="I267:I332" ca="1" si="76">IFERROR(IF(H267&gt;2,1,0),0)</f>
        <v>0</v>
      </c>
      <c r="W267" s="983" t="str">
        <f ca="1">AB267&amp;"-"&amp;COUNTIF($AB$2:$AB267,$AB267)</f>
        <v>1-3-0-26</v>
      </c>
      <c r="X267" s="983" t="s">
        <v>961</v>
      </c>
      <c r="Y267" s="985">
        <f t="shared" ca="1" si="71"/>
        <v>1</v>
      </c>
      <c r="Z267" s="988">
        <v>3</v>
      </c>
      <c r="AA267" s="985">
        <f t="shared" ca="1" si="73"/>
        <v>0</v>
      </c>
      <c r="AB267" s="987" t="str">
        <f t="shared" ca="1" si="74"/>
        <v>1-3-0</v>
      </c>
    </row>
    <row r="268" spans="1:28" ht="15" customHeight="1" x14ac:dyDescent="0.2">
      <c r="A268" s="406" t="s">
        <v>0</v>
      </c>
      <c r="B268" s="406" t="s">
        <v>1016</v>
      </c>
      <c r="C268" s="406" t="s">
        <v>962</v>
      </c>
      <c r="D268" s="973" t="s">
        <v>144</v>
      </c>
      <c r="E268" s="406">
        <v>3</v>
      </c>
      <c r="F268" s="100" t="str">
        <f t="shared" si="75"/>
        <v>RISK-53</v>
      </c>
      <c r="G268" s="100">
        <f t="shared" si="72"/>
        <v>4</v>
      </c>
      <c r="H268" s="133">
        <f t="shared" ref="H268:H333" ca="1" si="77">INT(LEFT(
VLOOKUP($D268, INDIRECT("'"&amp;$A268&amp;"'!"&amp;"$D:$G"), 4,FALSE), 1)
)</f>
        <v>0</v>
      </c>
      <c r="I268" s="133">
        <f t="shared" ca="1" si="76"/>
        <v>0</v>
      </c>
      <c r="W268" s="983" t="str">
        <f ca="1">AB268&amp;"-"&amp;COUNTIF($AB$2:$AB268,$AB268)</f>
        <v>1-3-0-27</v>
      </c>
      <c r="X268" s="983" t="s">
        <v>962</v>
      </c>
      <c r="Y268" s="985">
        <f t="shared" ca="1" si="71"/>
        <v>1</v>
      </c>
      <c r="Z268" s="988">
        <v>3</v>
      </c>
      <c r="AA268" s="985">
        <f t="shared" ca="1" si="73"/>
        <v>0</v>
      </c>
      <c r="AB268" s="987" t="str">
        <f t="shared" ca="1" si="74"/>
        <v>1-3-0</v>
      </c>
    </row>
    <row r="269" spans="1:28" ht="15" customHeight="1" x14ac:dyDescent="0.2">
      <c r="A269" s="406" t="s">
        <v>0</v>
      </c>
      <c r="B269" s="406" t="s">
        <v>1016</v>
      </c>
      <c r="C269" s="406" t="s">
        <v>963</v>
      </c>
      <c r="D269" s="973" t="s">
        <v>146</v>
      </c>
      <c r="E269" s="406">
        <v>3</v>
      </c>
      <c r="F269" s="100" t="str">
        <f t="shared" si="75"/>
        <v>RISK-53</v>
      </c>
      <c r="G269" s="100">
        <f t="shared" si="72"/>
        <v>4</v>
      </c>
      <c r="H269" s="133">
        <f t="shared" ca="1" si="77"/>
        <v>0</v>
      </c>
      <c r="I269" s="133">
        <f t="shared" ca="1" si="76"/>
        <v>0</v>
      </c>
      <c r="W269" s="983" t="str">
        <f ca="1">AB269&amp;"-"&amp;COUNTIF($AB$2:$AB269,$AB269)</f>
        <v>1-3-0-28</v>
      </c>
      <c r="X269" s="983" t="s">
        <v>963</v>
      </c>
      <c r="Y269" s="985">
        <f t="shared" ca="1" si="71"/>
        <v>1</v>
      </c>
      <c r="Z269" s="988">
        <v>3</v>
      </c>
      <c r="AA269" s="985">
        <f t="shared" ca="1" si="73"/>
        <v>0</v>
      </c>
      <c r="AB269" s="987" t="str">
        <f t="shared" ca="1" si="74"/>
        <v>1-3-0</v>
      </c>
    </row>
    <row r="270" spans="1:28" ht="15" customHeight="1" x14ac:dyDescent="0.2">
      <c r="A270" s="130" t="s">
        <v>67</v>
      </c>
      <c r="B270" s="130" t="s">
        <v>81</v>
      </c>
      <c r="C270" s="130" t="s">
        <v>211</v>
      </c>
      <c r="D270" s="974" t="s">
        <v>5</v>
      </c>
      <c r="E270" s="130">
        <v>1</v>
      </c>
      <c r="F270" s="100" t="str">
        <f t="shared" si="75"/>
        <v>SITUATION-11</v>
      </c>
      <c r="G270" s="100">
        <f t="shared" si="72"/>
        <v>1</v>
      </c>
      <c r="H270" s="133">
        <f t="shared" ca="1" si="77"/>
        <v>0</v>
      </c>
      <c r="I270" s="133">
        <f t="shared" ca="1" si="76"/>
        <v>0</v>
      </c>
      <c r="W270" s="983" t="str">
        <f ca="1">AB270&amp;"-"&amp;COUNTIF($AB$2:$AB270,$AB270)</f>
        <v>0-1-0-45</v>
      </c>
      <c r="X270" s="983" t="s">
        <v>211</v>
      </c>
      <c r="Y270" s="985">
        <f t="shared" ca="1" si="71"/>
        <v>0</v>
      </c>
      <c r="Z270" s="988">
        <v>1</v>
      </c>
      <c r="AA270" s="985">
        <f t="shared" ca="1" si="73"/>
        <v>0</v>
      </c>
      <c r="AB270" s="987" t="str">
        <f t="shared" ca="1" si="74"/>
        <v>0-1-0</v>
      </c>
    </row>
    <row r="271" spans="1:28" ht="15" customHeight="1" x14ac:dyDescent="0.2">
      <c r="A271" s="130" t="s">
        <v>67</v>
      </c>
      <c r="B271" s="130" t="s">
        <v>81</v>
      </c>
      <c r="C271" s="130" t="s">
        <v>212</v>
      </c>
      <c r="D271" s="974" t="s">
        <v>7</v>
      </c>
      <c r="E271" s="130">
        <v>2</v>
      </c>
      <c r="F271" s="100" t="str">
        <f t="shared" si="75"/>
        <v>SITUATION-12</v>
      </c>
      <c r="G271" s="100">
        <f t="shared" si="72"/>
        <v>4</v>
      </c>
      <c r="H271" s="133">
        <f t="shared" ca="1" si="77"/>
        <v>0</v>
      </c>
      <c r="I271" s="133">
        <f t="shared" ca="1" si="76"/>
        <v>0</v>
      </c>
      <c r="W271" s="983" t="str">
        <f ca="1">AB271&amp;"-"&amp;COUNTIF($AB$2:$AB271,$AB271)</f>
        <v>0-2-0-118</v>
      </c>
      <c r="X271" s="983" t="s">
        <v>212</v>
      </c>
      <c r="Y271" s="985">
        <f t="shared" ca="1" si="71"/>
        <v>0</v>
      </c>
      <c r="Z271" s="988">
        <v>2</v>
      </c>
      <c r="AA271" s="985">
        <f t="shared" ca="1" si="73"/>
        <v>0</v>
      </c>
      <c r="AB271" s="987" t="str">
        <f t="shared" ca="1" si="74"/>
        <v>0-2-0</v>
      </c>
    </row>
    <row r="272" spans="1:28" ht="15" customHeight="1" x14ac:dyDescent="0.2">
      <c r="A272" s="130" t="s">
        <v>67</v>
      </c>
      <c r="B272" s="130" t="s">
        <v>81</v>
      </c>
      <c r="C272" s="130" t="s">
        <v>213</v>
      </c>
      <c r="D272" s="974" t="s">
        <v>8</v>
      </c>
      <c r="E272" s="130">
        <v>2</v>
      </c>
      <c r="F272" s="100" t="str">
        <f t="shared" si="75"/>
        <v>SITUATION-12</v>
      </c>
      <c r="G272" s="100">
        <f t="shared" si="72"/>
        <v>4</v>
      </c>
      <c r="H272" s="133">
        <f t="shared" ca="1" si="77"/>
        <v>0</v>
      </c>
      <c r="I272" s="133">
        <f t="shared" ca="1" si="76"/>
        <v>0</v>
      </c>
      <c r="W272" s="983" t="str">
        <f ca="1">AB272&amp;"-"&amp;COUNTIF($AB$2:$AB272,$AB272)</f>
        <v>0-2-0-119</v>
      </c>
      <c r="X272" s="983" t="s">
        <v>213</v>
      </c>
      <c r="Y272" s="985">
        <f t="shared" ca="1" si="71"/>
        <v>0</v>
      </c>
      <c r="Z272" s="988">
        <v>2</v>
      </c>
      <c r="AA272" s="985">
        <f t="shared" ca="1" si="73"/>
        <v>0</v>
      </c>
      <c r="AB272" s="987" t="str">
        <f t="shared" ca="1" si="74"/>
        <v>0-2-0</v>
      </c>
    </row>
    <row r="273" spans="1:28" ht="15" customHeight="1" x14ac:dyDescent="0.2">
      <c r="A273" s="130" t="s">
        <v>67</v>
      </c>
      <c r="B273" s="130" t="s">
        <v>81</v>
      </c>
      <c r="C273" s="130" t="s">
        <v>214</v>
      </c>
      <c r="D273" s="974" t="s">
        <v>9</v>
      </c>
      <c r="E273" s="130">
        <v>2</v>
      </c>
      <c r="F273" s="100" t="str">
        <f t="shared" si="75"/>
        <v>SITUATION-12</v>
      </c>
      <c r="G273" s="100">
        <f t="shared" si="72"/>
        <v>4</v>
      </c>
      <c r="H273" s="133">
        <f t="shared" ca="1" si="77"/>
        <v>0</v>
      </c>
      <c r="I273" s="133">
        <f t="shared" ca="1" si="76"/>
        <v>0</v>
      </c>
      <c r="W273" s="983" t="str">
        <f ca="1">AB273&amp;"-"&amp;COUNTIF($AB$2:$AB273,$AB273)</f>
        <v>0-2-0-120</v>
      </c>
      <c r="X273" s="983" t="s">
        <v>214</v>
      </c>
      <c r="Y273" s="985">
        <f t="shared" ca="1" si="71"/>
        <v>0</v>
      </c>
      <c r="Z273" s="988">
        <v>2</v>
      </c>
      <c r="AA273" s="985">
        <f t="shared" ca="1" si="73"/>
        <v>0</v>
      </c>
      <c r="AB273" s="987" t="str">
        <f t="shared" ca="1" si="74"/>
        <v>0-2-0</v>
      </c>
    </row>
    <row r="274" spans="1:28" ht="15" customHeight="1" x14ac:dyDescent="0.2">
      <c r="A274" s="130" t="s">
        <v>67</v>
      </c>
      <c r="B274" s="130" t="s">
        <v>81</v>
      </c>
      <c r="C274" s="130" t="s">
        <v>973</v>
      </c>
      <c r="D274" s="974" t="s">
        <v>10</v>
      </c>
      <c r="E274" s="130">
        <v>2</v>
      </c>
      <c r="F274" s="100" t="str">
        <f t="shared" si="75"/>
        <v>SITUATION-12</v>
      </c>
      <c r="G274" s="100">
        <f t="shared" si="72"/>
        <v>4</v>
      </c>
      <c r="H274" s="133">
        <f t="shared" ca="1" si="77"/>
        <v>0</v>
      </c>
      <c r="I274" s="133">
        <f t="shared" ca="1" si="76"/>
        <v>0</v>
      </c>
      <c r="W274" s="983" t="str">
        <f ca="1">AB274&amp;"-"&amp;COUNTIF($AB$2:$AB274,$AB274)</f>
        <v>0-2-0-121</v>
      </c>
      <c r="X274" s="983" t="s">
        <v>973</v>
      </c>
      <c r="Y274" s="985">
        <f t="shared" ca="1" si="71"/>
        <v>0</v>
      </c>
      <c r="Z274" s="988">
        <v>2</v>
      </c>
      <c r="AA274" s="985">
        <f t="shared" ca="1" si="73"/>
        <v>0</v>
      </c>
      <c r="AB274" s="987" t="str">
        <f t="shared" ca="1" si="74"/>
        <v>0-2-0</v>
      </c>
    </row>
    <row r="275" spans="1:28" ht="15" customHeight="1" x14ac:dyDescent="0.2">
      <c r="A275" s="130" t="s">
        <v>67</v>
      </c>
      <c r="B275" s="130" t="s">
        <v>81</v>
      </c>
      <c r="C275" s="130" t="s">
        <v>2618</v>
      </c>
      <c r="D275" s="974" t="s">
        <v>11</v>
      </c>
      <c r="E275" s="130">
        <v>3</v>
      </c>
      <c r="F275" s="100" t="str">
        <f t="shared" si="75"/>
        <v>SITUATION-13</v>
      </c>
      <c r="G275" s="100">
        <f t="shared" si="72"/>
        <v>1</v>
      </c>
      <c r="H275" s="133">
        <f t="shared" ca="1" si="77"/>
        <v>0</v>
      </c>
      <c r="I275" s="133">
        <f t="shared" ref="I275" ca="1" si="78">IFERROR(IF(H275&gt;2,1,0),0)</f>
        <v>0</v>
      </c>
      <c r="W275" s="983" t="str">
        <f ca="1">AB275&amp;"-"&amp;COUNTIF($AB$2:$AB275,$AB275)</f>
        <v>0-3-0-65</v>
      </c>
      <c r="X275" s="983" t="s">
        <v>2618</v>
      </c>
      <c r="Y275" s="985">
        <f t="shared" ca="1" si="71"/>
        <v>0</v>
      </c>
      <c r="Z275" s="988">
        <v>3</v>
      </c>
      <c r="AA275" s="985">
        <f t="shared" ca="1" si="73"/>
        <v>0</v>
      </c>
      <c r="AB275" s="987" t="str">
        <f t="shared" ca="1" si="74"/>
        <v>0-3-0</v>
      </c>
    </row>
    <row r="276" spans="1:28" ht="15" customHeight="1" x14ac:dyDescent="0.2">
      <c r="A276" s="130" t="s">
        <v>67</v>
      </c>
      <c r="B276" s="130" t="s">
        <v>83</v>
      </c>
      <c r="C276" s="130" t="s">
        <v>215</v>
      </c>
      <c r="D276" s="974" t="s">
        <v>17</v>
      </c>
      <c r="E276" s="130">
        <v>1</v>
      </c>
      <c r="F276" s="100" t="str">
        <f t="shared" si="75"/>
        <v>SITUATION-21</v>
      </c>
      <c r="G276" s="100">
        <f t="shared" si="72"/>
        <v>2</v>
      </c>
      <c r="H276" s="133">
        <f t="shared" ca="1" si="77"/>
        <v>0</v>
      </c>
      <c r="I276" s="133">
        <f t="shared" ca="1" si="76"/>
        <v>0</v>
      </c>
      <c r="W276" s="983" t="str">
        <f ca="1">AB276&amp;"-"&amp;COUNTIF($AB$2:$AB276,$AB276)</f>
        <v>0-1-0-46</v>
      </c>
      <c r="X276" s="983" t="s">
        <v>215</v>
      </c>
      <c r="Y276" s="985">
        <f t="shared" ca="1" si="71"/>
        <v>0</v>
      </c>
      <c r="Z276" s="988">
        <v>1</v>
      </c>
      <c r="AA276" s="985">
        <f t="shared" ca="1" si="73"/>
        <v>0</v>
      </c>
      <c r="AB276" s="987" t="str">
        <f t="shared" ca="1" si="74"/>
        <v>0-1-0</v>
      </c>
    </row>
    <row r="277" spans="1:28" ht="15" customHeight="1" x14ac:dyDescent="0.2">
      <c r="A277" s="130" t="s">
        <v>67</v>
      </c>
      <c r="B277" s="130" t="s">
        <v>83</v>
      </c>
      <c r="C277" s="130" t="s">
        <v>216</v>
      </c>
      <c r="D277" s="974" t="s">
        <v>18</v>
      </c>
      <c r="E277" s="130">
        <v>1</v>
      </c>
      <c r="F277" s="100" t="str">
        <f t="shared" si="75"/>
        <v>SITUATION-21</v>
      </c>
      <c r="G277" s="100">
        <f t="shared" si="72"/>
        <v>2</v>
      </c>
      <c r="H277" s="133">
        <f t="shared" ca="1" si="77"/>
        <v>0</v>
      </c>
      <c r="I277" s="133">
        <f t="shared" ca="1" si="76"/>
        <v>0</v>
      </c>
      <c r="W277" s="983" t="str">
        <f ca="1">AB277&amp;"-"&amp;COUNTIF($AB$2:$AB277,$AB277)</f>
        <v>0-1-0-47</v>
      </c>
      <c r="X277" s="983" t="s">
        <v>216</v>
      </c>
      <c r="Y277" s="985">
        <f t="shared" ca="1" si="71"/>
        <v>0</v>
      </c>
      <c r="Z277" s="988">
        <v>1</v>
      </c>
      <c r="AA277" s="985">
        <f t="shared" ca="1" si="73"/>
        <v>0</v>
      </c>
      <c r="AB277" s="987" t="str">
        <f t="shared" ca="1" si="74"/>
        <v>0-1-0</v>
      </c>
    </row>
    <row r="278" spans="1:28" ht="15" customHeight="1" x14ac:dyDescent="0.2">
      <c r="A278" s="130" t="s">
        <v>67</v>
      </c>
      <c r="B278" s="130" t="s">
        <v>83</v>
      </c>
      <c r="C278" s="130" t="s">
        <v>217</v>
      </c>
      <c r="D278" s="974" t="s">
        <v>19</v>
      </c>
      <c r="E278" s="130">
        <v>2</v>
      </c>
      <c r="F278" s="100" t="str">
        <f t="shared" si="75"/>
        <v>SITUATION-22</v>
      </c>
      <c r="G278" s="100">
        <f t="shared" si="72"/>
        <v>4</v>
      </c>
      <c r="H278" s="133">
        <f t="shared" ca="1" si="77"/>
        <v>0</v>
      </c>
      <c r="I278" s="133">
        <f t="shared" ca="1" si="76"/>
        <v>0</v>
      </c>
      <c r="W278" s="983" t="str">
        <f ca="1">AB278&amp;"-"&amp;COUNTIF($AB$2:$AB278,$AB278)</f>
        <v>0-2-0-122</v>
      </c>
      <c r="X278" s="983" t="s">
        <v>217</v>
      </c>
      <c r="Y278" s="985">
        <f t="shared" ref="Y278:Y309" ca="1" si="79">VLOOKUP(LEFT($X278,LEN($X278)-1),$K:$O,5,FALSE)</f>
        <v>0</v>
      </c>
      <c r="Z278" s="988">
        <v>2</v>
      </c>
      <c r="AA278" s="985">
        <f t="shared" ca="1" si="73"/>
        <v>0</v>
      </c>
      <c r="AB278" s="987" t="str">
        <f t="shared" ca="1" si="74"/>
        <v>0-2-0</v>
      </c>
    </row>
    <row r="279" spans="1:28" ht="15" customHeight="1" x14ac:dyDescent="0.2">
      <c r="A279" s="130" t="s">
        <v>67</v>
      </c>
      <c r="B279" s="130" t="s">
        <v>83</v>
      </c>
      <c r="C279" s="130" t="s">
        <v>218</v>
      </c>
      <c r="D279" s="974" t="s">
        <v>20</v>
      </c>
      <c r="E279" s="130">
        <v>2</v>
      </c>
      <c r="F279" s="100" t="str">
        <f t="shared" si="75"/>
        <v>SITUATION-22</v>
      </c>
      <c r="G279" s="100">
        <f t="shared" si="72"/>
        <v>4</v>
      </c>
      <c r="H279" s="133">
        <f t="shared" ca="1" si="77"/>
        <v>0</v>
      </c>
      <c r="I279" s="133">
        <f t="shared" ca="1" si="76"/>
        <v>0</v>
      </c>
      <c r="W279" s="983" t="str">
        <f ca="1">AB279&amp;"-"&amp;COUNTIF($AB$2:$AB279,$AB279)</f>
        <v>0-2-0-123</v>
      </c>
      <c r="X279" s="983" t="s">
        <v>218</v>
      </c>
      <c r="Y279" s="985">
        <f t="shared" ca="1" si="79"/>
        <v>0</v>
      </c>
      <c r="Z279" s="988">
        <v>2</v>
      </c>
      <c r="AA279" s="985">
        <f t="shared" ca="1" si="73"/>
        <v>0</v>
      </c>
      <c r="AB279" s="987" t="str">
        <f t="shared" ca="1" si="74"/>
        <v>0-2-0</v>
      </c>
    </row>
    <row r="280" spans="1:28" ht="15" customHeight="1" x14ac:dyDescent="0.2">
      <c r="A280" s="130" t="s">
        <v>67</v>
      </c>
      <c r="B280" s="130" t="s">
        <v>83</v>
      </c>
      <c r="C280" s="130" t="s">
        <v>219</v>
      </c>
      <c r="D280" s="974" t="s">
        <v>21</v>
      </c>
      <c r="E280" s="130">
        <v>2</v>
      </c>
      <c r="F280" s="100" t="str">
        <f t="shared" si="75"/>
        <v>SITUATION-22</v>
      </c>
      <c r="G280" s="100">
        <f t="shared" si="72"/>
        <v>4</v>
      </c>
      <c r="H280" s="133">
        <f t="shared" ca="1" si="77"/>
        <v>0</v>
      </c>
      <c r="I280" s="133">
        <f t="shared" ca="1" si="76"/>
        <v>0</v>
      </c>
      <c r="W280" s="983" t="str">
        <f ca="1">AB280&amp;"-"&amp;COUNTIF($AB$2:$AB280,$AB280)</f>
        <v>0-2-0-124</v>
      </c>
      <c r="X280" s="983" t="s">
        <v>219</v>
      </c>
      <c r="Y280" s="985">
        <f t="shared" ca="1" si="79"/>
        <v>0</v>
      </c>
      <c r="Z280" s="988">
        <v>2</v>
      </c>
      <c r="AA280" s="985">
        <f t="shared" ca="1" si="73"/>
        <v>0</v>
      </c>
      <c r="AB280" s="987" t="str">
        <f t="shared" ca="1" si="74"/>
        <v>0-2-0</v>
      </c>
    </row>
    <row r="281" spans="1:28" ht="15" customHeight="1" x14ac:dyDescent="0.2">
      <c r="A281" s="130" t="s">
        <v>67</v>
      </c>
      <c r="B281" s="130" t="s">
        <v>83</v>
      </c>
      <c r="C281" s="130" t="s">
        <v>220</v>
      </c>
      <c r="D281" s="974" t="s">
        <v>103</v>
      </c>
      <c r="E281" s="130">
        <v>2</v>
      </c>
      <c r="F281" s="100" t="str">
        <f t="shared" si="75"/>
        <v>SITUATION-22</v>
      </c>
      <c r="G281" s="100">
        <f t="shared" si="72"/>
        <v>4</v>
      </c>
      <c r="H281" s="133">
        <f t="shared" ca="1" si="77"/>
        <v>0</v>
      </c>
      <c r="I281" s="133">
        <f t="shared" ca="1" si="76"/>
        <v>0</v>
      </c>
      <c r="W281" s="983" t="str">
        <f ca="1">AB281&amp;"-"&amp;COUNTIF($AB$2:$AB281,$AB281)</f>
        <v>0-2-0-125</v>
      </c>
      <c r="X281" s="983" t="s">
        <v>220</v>
      </c>
      <c r="Y281" s="985">
        <f t="shared" ca="1" si="79"/>
        <v>0</v>
      </c>
      <c r="Z281" s="988">
        <v>2</v>
      </c>
      <c r="AA281" s="985">
        <f t="shared" ca="1" si="73"/>
        <v>0</v>
      </c>
      <c r="AB281" s="987" t="str">
        <f t="shared" ca="1" si="74"/>
        <v>0-2-0</v>
      </c>
    </row>
    <row r="282" spans="1:28" ht="15" customHeight="1" x14ac:dyDescent="0.2">
      <c r="A282" s="130" t="s">
        <v>67</v>
      </c>
      <c r="B282" s="130" t="s">
        <v>83</v>
      </c>
      <c r="C282" s="130" t="s">
        <v>221</v>
      </c>
      <c r="D282" s="974" t="s">
        <v>165</v>
      </c>
      <c r="E282" s="130">
        <v>3</v>
      </c>
      <c r="F282" s="100" t="str">
        <f t="shared" si="75"/>
        <v>SITUATION-23</v>
      </c>
      <c r="G282" s="100">
        <f t="shared" si="72"/>
        <v>3</v>
      </c>
      <c r="H282" s="133">
        <f t="shared" ca="1" si="77"/>
        <v>0</v>
      </c>
      <c r="I282" s="133">
        <f t="shared" ca="1" si="76"/>
        <v>0</v>
      </c>
      <c r="W282" s="983" t="str">
        <f ca="1">AB282&amp;"-"&amp;COUNTIF($AB$2:$AB282,$AB282)</f>
        <v>0-3-0-66</v>
      </c>
      <c r="X282" s="983" t="s">
        <v>221</v>
      </c>
      <c r="Y282" s="985">
        <f t="shared" ca="1" si="79"/>
        <v>0</v>
      </c>
      <c r="Z282" s="988">
        <v>3</v>
      </c>
      <c r="AA282" s="985">
        <f t="shared" ca="1" si="73"/>
        <v>0</v>
      </c>
      <c r="AB282" s="987" t="str">
        <f t="shared" ca="1" si="74"/>
        <v>0-3-0</v>
      </c>
    </row>
    <row r="283" spans="1:28" ht="15" customHeight="1" x14ac:dyDescent="0.2">
      <c r="A283" s="130" t="s">
        <v>67</v>
      </c>
      <c r="B283" s="130" t="s">
        <v>83</v>
      </c>
      <c r="C283" s="130" t="s">
        <v>222</v>
      </c>
      <c r="D283" s="974" t="s">
        <v>167</v>
      </c>
      <c r="E283" s="130">
        <v>3</v>
      </c>
      <c r="F283" s="100" t="str">
        <f t="shared" si="75"/>
        <v>SITUATION-23</v>
      </c>
      <c r="G283" s="100">
        <f t="shared" si="72"/>
        <v>3</v>
      </c>
      <c r="H283" s="133">
        <f t="shared" ca="1" si="77"/>
        <v>0</v>
      </c>
      <c r="I283" s="133">
        <f t="shared" ca="1" si="76"/>
        <v>0</v>
      </c>
      <c r="W283" s="983" t="str">
        <f ca="1">AB283&amp;"-"&amp;COUNTIF($AB$2:$AB283,$AB283)</f>
        <v>0-3-0-67</v>
      </c>
      <c r="X283" s="983" t="s">
        <v>222</v>
      </c>
      <c r="Y283" s="985">
        <f t="shared" ca="1" si="79"/>
        <v>0</v>
      </c>
      <c r="Z283" s="988">
        <v>3</v>
      </c>
      <c r="AA283" s="985">
        <f t="shared" ca="1" si="73"/>
        <v>0</v>
      </c>
      <c r="AB283" s="987" t="str">
        <f t="shared" ca="1" si="74"/>
        <v>0-3-0</v>
      </c>
    </row>
    <row r="284" spans="1:28" ht="15" customHeight="1" x14ac:dyDescent="0.2">
      <c r="A284" s="130" t="s">
        <v>67</v>
      </c>
      <c r="B284" s="130" t="s">
        <v>83</v>
      </c>
      <c r="C284" s="130" t="s">
        <v>223</v>
      </c>
      <c r="D284" s="974" t="s">
        <v>198</v>
      </c>
      <c r="E284" s="130">
        <v>3</v>
      </c>
      <c r="F284" s="100" t="str">
        <f t="shared" si="75"/>
        <v>SITUATION-23</v>
      </c>
      <c r="G284" s="100">
        <f t="shared" si="72"/>
        <v>3</v>
      </c>
      <c r="H284" s="133">
        <f t="shared" ca="1" si="77"/>
        <v>0</v>
      </c>
      <c r="I284" s="133">
        <f t="shared" ca="1" si="76"/>
        <v>0</v>
      </c>
      <c r="W284" s="983" t="str">
        <f ca="1">AB284&amp;"-"&amp;COUNTIF($AB$2:$AB284,$AB284)</f>
        <v>0-3-0-68</v>
      </c>
      <c r="X284" s="983" t="s">
        <v>223</v>
      </c>
      <c r="Y284" s="985">
        <f t="shared" ca="1" si="79"/>
        <v>0</v>
      </c>
      <c r="Z284" s="988">
        <v>3</v>
      </c>
      <c r="AA284" s="985">
        <f t="shared" ca="1" si="73"/>
        <v>0</v>
      </c>
      <c r="AB284" s="987" t="str">
        <f t="shared" ca="1" si="74"/>
        <v>0-3-0</v>
      </c>
    </row>
    <row r="285" spans="1:28" ht="15" customHeight="1" x14ac:dyDescent="0.2">
      <c r="A285" s="130" t="s">
        <v>67</v>
      </c>
      <c r="B285" s="130" t="s">
        <v>85</v>
      </c>
      <c r="C285" s="130" t="s">
        <v>225</v>
      </c>
      <c r="D285" s="974" t="s">
        <v>22</v>
      </c>
      <c r="E285" s="130">
        <v>2</v>
      </c>
      <c r="F285" s="100" t="str">
        <f t="shared" si="75"/>
        <v>SITUATION-32</v>
      </c>
      <c r="G285" s="100">
        <f t="shared" si="72"/>
        <v>3</v>
      </c>
      <c r="H285" s="133">
        <f t="shared" ca="1" si="77"/>
        <v>0</v>
      </c>
      <c r="I285" s="133">
        <f t="shared" ca="1" si="76"/>
        <v>0</v>
      </c>
      <c r="W285" s="983" t="str">
        <f ca="1">AB285&amp;"-"&amp;COUNTIF($AB$2:$AB285,$AB285)</f>
        <v>1-2-0-16</v>
      </c>
      <c r="X285" s="983" t="s">
        <v>225</v>
      </c>
      <c r="Y285" s="985">
        <f t="shared" ca="1" si="79"/>
        <v>1</v>
      </c>
      <c r="Z285" s="988">
        <v>2</v>
      </c>
      <c r="AA285" s="985">
        <f t="shared" ca="1" si="73"/>
        <v>0</v>
      </c>
      <c r="AB285" s="987" t="str">
        <f t="shared" ca="1" si="74"/>
        <v>1-2-0</v>
      </c>
    </row>
    <row r="286" spans="1:28" ht="15" customHeight="1" x14ac:dyDescent="0.2">
      <c r="A286" s="130" t="s">
        <v>67</v>
      </c>
      <c r="B286" s="130" t="s">
        <v>85</v>
      </c>
      <c r="C286" s="130" t="s">
        <v>226</v>
      </c>
      <c r="D286" s="974" t="s">
        <v>23</v>
      </c>
      <c r="E286" s="130">
        <v>2</v>
      </c>
      <c r="F286" s="100" t="str">
        <f t="shared" si="75"/>
        <v>SITUATION-32</v>
      </c>
      <c r="G286" s="100">
        <f t="shared" si="72"/>
        <v>3</v>
      </c>
      <c r="H286" s="133">
        <f t="shared" ca="1" si="77"/>
        <v>0</v>
      </c>
      <c r="I286" s="133">
        <f t="shared" ca="1" si="76"/>
        <v>0</v>
      </c>
      <c r="W286" s="983" t="str">
        <f ca="1">AB286&amp;"-"&amp;COUNTIF($AB$2:$AB286,$AB286)</f>
        <v>1-2-0-17</v>
      </c>
      <c r="X286" s="983" t="s">
        <v>226</v>
      </c>
      <c r="Y286" s="985">
        <f t="shared" ca="1" si="79"/>
        <v>1</v>
      </c>
      <c r="Z286" s="988">
        <v>2</v>
      </c>
      <c r="AA286" s="985">
        <f t="shared" ca="1" si="73"/>
        <v>0</v>
      </c>
      <c r="AB286" s="987" t="str">
        <f t="shared" ca="1" si="74"/>
        <v>1-2-0</v>
      </c>
    </row>
    <row r="287" spans="1:28" ht="15" customHeight="1" x14ac:dyDescent="0.2">
      <c r="A287" s="130" t="s">
        <v>67</v>
      </c>
      <c r="B287" s="130" t="s">
        <v>85</v>
      </c>
      <c r="C287" s="130" t="s">
        <v>227</v>
      </c>
      <c r="D287" s="974" t="s">
        <v>24</v>
      </c>
      <c r="E287" s="130">
        <v>2</v>
      </c>
      <c r="F287" s="100" t="str">
        <f t="shared" si="75"/>
        <v>SITUATION-32</v>
      </c>
      <c r="G287" s="100">
        <f t="shared" si="72"/>
        <v>3</v>
      </c>
      <c r="H287" s="133">
        <f t="shared" ca="1" si="77"/>
        <v>0</v>
      </c>
      <c r="I287" s="133">
        <f t="shared" ca="1" si="76"/>
        <v>0</v>
      </c>
      <c r="W287" s="983" t="str">
        <f ca="1">AB287&amp;"-"&amp;COUNTIF($AB$2:$AB287,$AB287)</f>
        <v>1-2-0-18</v>
      </c>
      <c r="X287" s="983" t="s">
        <v>227</v>
      </c>
      <c r="Y287" s="985">
        <f t="shared" ca="1" si="79"/>
        <v>1</v>
      </c>
      <c r="Z287" s="988">
        <v>2</v>
      </c>
      <c r="AA287" s="985">
        <f t="shared" ca="1" si="73"/>
        <v>0</v>
      </c>
      <c r="AB287" s="987" t="str">
        <f t="shared" ca="1" si="74"/>
        <v>1-2-0</v>
      </c>
    </row>
    <row r="288" spans="1:28" ht="15" customHeight="1" x14ac:dyDescent="0.2">
      <c r="A288" s="130" t="s">
        <v>67</v>
      </c>
      <c r="B288" s="130" t="s">
        <v>85</v>
      </c>
      <c r="C288" s="130" t="s">
        <v>228</v>
      </c>
      <c r="D288" s="974" t="s">
        <v>25</v>
      </c>
      <c r="E288" s="130">
        <v>3</v>
      </c>
      <c r="F288" s="100" t="str">
        <f t="shared" si="75"/>
        <v>SITUATION-33</v>
      </c>
      <c r="G288" s="100">
        <f t="shared" si="72"/>
        <v>4</v>
      </c>
      <c r="H288" s="133">
        <f t="shared" ca="1" si="77"/>
        <v>0</v>
      </c>
      <c r="I288" s="133">
        <f t="shared" ca="1" si="76"/>
        <v>0</v>
      </c>
      <c r="W288" s="983" t="str">
        <f ca="1">AB288&amp;"-"&amp;COUNTIF($AB$2:$AB288,$AB288)</f>
        <v>1-3-0-29</v>
      </c>
      <c r="X288" s="983" t="s">
        <v>228</v>
      </c>
      <c r="Y288" s="985">
        <f t="shared" ca="1" si="79"/>
        <v>1</v>
      </c>
      <c r="Z288" s="988">
        <v>3</v>
      </c>
      <c r="AA288" s="985">
        <f t="shared" ca="1" si="73"/>
        <v>0</v>
      </c>
      <c r="AB288" s="987" t="str">
        <f t="shared" ca="1" si="74"/>
        <v>1-3-0</v>
      </c>
    </row>
    <row r="289" spans="1:28" ht="15" customHeight="1" x14ac:dyDescent="0.2">
      <c r="A289" s="130" t="s">
        <v>67</v>
      </c>
      <c r="B289" s="130" t="s">
        <v>85</v>
      </c>
      <c r="C289" s="130" t="s">
        <v>229</v>
      </c>
      <c r="D289" s="974" t="s">
        <v>26</v>
      </c>
      <c r="E289" s="130">
        <v>3</v>
      </c>
      <c r="F289" s="100" t="str">
        <f t="shared" si="75"/>
        <v>SITUATION-33</v>
      </c>
      <c r="G289" s="100">
        <f t="shared" si="72"/>
        <v>4</v>
      </c>
      <c r="H289" s="133">
        <f t="shared" ca="1" si="77"/>
        <v>0</v>
      </c>
      <c r="I289" s="133">
        <f t="shared" ca="1" si="76"/>
        <v>0</v>
      </c>
      <c r="W289" s="983" t="str">
        <f ca="1">AB289&amp;"-"&amp;COUNTIF($AB$2:$AB289,$AB289)</f>
        <v>1-3-0-30</v>
      </c>
      <c r="X289" s="983" t="s">
        <v>229</v>
      </c>
      <c r="Y289" s="985">
        <f t="shared" ca="1" si="79"/>
        <v>1</v>
      </c>
      <c r="Z289" s="988">
        <v>3</v>
      </c>
      <c r="AA289" s="985">
        <f t="shared" ca="1" si="73"/>
        <v>0</v>
      </c>
      <c r="AB289" s="987" t="str">
        <f t="shared" ca="1" si="74"/>
        <v>1-3-0</v>
      </c>
    </row>
    <row r="290" spans="1:28" ht="15" customHeight="1" x14ac:dyDescent="0.2">
      <c r="A290" s="130" t="s">
        <v>67</v>
      </c>
      <c r="B290" s="130" t="s">
        <v>85</v>
      </c>
      <c r="C290" s="130" t="s">
        <v>230</v>
      </c>
      <c r="D290" s="974" t="s">
        <v>27</v>
      </c>
      <c r="E290" s="130">
        <v>3</v>
      </c>
      <c r="F290" s="100" t="str">
        <f t="shared" si="75"/>
        <v>SITUATION-33</v>
      </c>
      <c r="G290" s="100">
        <f t="shared" si="72"/>
        <v>4</v>
      </c>
      <c r="H290" s="133">
        <f t="shared" ca="1" si="77"/>
        <v>0</v>
      </c>
      <c r="I290" s="133">
        <f t="shared" ca="1" si="76"/>
        <v>0</v>
      </c>
      <c r="W290" s="983" t="str">
        <f ca="1">AB290&amp;"-"&amp;COUNTIF($AB$2:$AB290,$AB290)</f>
        <v>1-3-0-31</v>
      </c>
      <c r="X290" s="983" t="s">
        <v>230</v>
      </c>
      <c r="Y290" s="985">
        <f t="shared" ca="1" si="79"/>
        <v>1</v>
      </c>
      <c r="Z290" s="988">
        <v>3</v>
      </c>
      <c r="AA290" s="985">
        <f t="shared" ca="1" si="73"/>
        <v>0</v>
      </c>
      <c r="AB290" s="987" t="str">
        <f t="shared" ca="1" si="74"/>
        <v>1-3-0</v>
      </c>
    </row>
    <row r="291" spans="1:28" ht="15" customHeight="1" x14ac:dyDescent="0.2">
      <c r="A291" s="130" t="s">
        <v>67</v>
      </c>
      <c r="B291" s="130" t="s">
        <v>85</v>
      </c>
      <c r="C291" s="130" t="s">
        <v>231</v>
      </c>
      <c r="D291" s="974" t="s">
        <v>28</v>
      </c>
      <c r="E291" s="130">
        <v>3</v>
      </c>
      <c r="F291" s="100" t="str">
        <f t="shared" si="75"/>
        <v>SITUATION-33</v>
      </c>
      <c r="G291" s="100">
        <f t="shared" si="72"/>
        <v>4</v>
      </c>
      <c r="H291" s="133">
        <f t="shared" ca="1" si="77"/>
        <v>0</v>
      </c>
      <c r="I291" s="133">
        <f t="shared" ca="1" si="76"/>
        <v>0</v>
      </c>
      <c r="W291" s="983" t="str">
        <f ca="1">AB291&amp;"-"&amp;COUNTIF($AB$2:$AB291,$AB291)</f>
        <v>1-3-0-32</v>
      </c>
      <c r="X291" s="983" t="s">
        <v>231</v>
      </c>
      <c r="Y291" s="985">
        <f t="shared" ca="1" si="79"/>
        <v>1</v>
      </c>
      <c r="Z291" s="988">
        <v>3</v>
      </c>
      <c r="AA291" s="985">
        <f t="shared" ca="1" si="73"/>
        <v>0</v>
      </c>
      <c r="AB291" s="987" t="str">
        <f t="shared" ca="1" si="74"/>
        <v>1-3-0</v>
      </c>
    </row>
    <row r="292" spans="1:28" ht="15" customHeight="1" x14ac:dyDescent="0.2">
      <c r="A292" s="130" t="s">
        <v>67</v>
      </c>
      <c r="B292" s="130" t="s">
        <v>87</v>
      </c>
      <c r="C292" s="130" t="s">
        <v>233</v>
      </c>
      <c r="D292" s="974" t="s">
        <v>117</v>
      </c>
      <c r="E292" s="130">
        <v>2</v>
      </c>
      <c r="F292" s="100" t="str">
        <f t="shared" si="75"/>
        <v>SITUATION-42</v>
      </c>
      <c r="G292" s="100">
        <f t="shared" si="72"/>
        <v>2</v>
      </c>
      <c r="H292" s="133">
        <f t="shared" ca="1" si="77"/>
        <v>0</v>
      </c>
      <c r="I292" s="133">
        <f t="shared" ca="1" si="76"/>
        <v>0</v>
      </c>
      <c r="W292" s="983" t="str">
        <f ca="1">AB292&amp;"-"&amp;COUNTIF($AB$2:$AB292,$AB292)</f>
        <v>1-2-0-19</v>
      </c>
      <c r="X292" s="983" t="s">
        <v>233</v>
      </c>
      <c r="Y292" s="985">
        <f t="shared" ca="1" si="79"/>
        <v>1</v>
      </c>
      <c r="Z292" s="988">
        <v>2</v>
      </c>
      <c r="AA292" s="985">
        <f t="shared" ca="1" si="73"/>
        <v>0</v>
      </c>
      <c r="AB292" s="987" t="str">
        <f t="shared" ca="1" si="74"/>
        <v>1-2-0</v>
      </c>
    </row>
    <row r="293" spans="1:28" ht="15" customHeight="1" x14ac:dyDescent="0.2">
      <c r="A293" s="130" t="s">
        <v>67</v>
      </c>
      <c r="B293" s="130" t="s">
        <v>87</v>
      </c>
      <c r="C293" s="130" t="s">
        <v>234</v>
      </c>
      <c r="D293" s="974" t="s">
        <v>120</v>
      </c>
      <c r="E293" s="130">
        <v>2</v>
      </c>
      <c r="F293" s="100" t="str">
        <f t="shared" si="75"/>
        <v>SITUATION-42</v>
      </c>
      <c r="G293" s="100">
        <f t="shared" si="72"/>
        <v>2</v>
      </c>
      <c r="H293" s="133">
        <f t="shared" ca="1" si="77"/>
        <v>0</v>
      </c>
      <c r="I293" s="133">
        <f t="shared" ca="1" si="76"/>
        <v>0</v>
      </c>
      <c r="W293" s="983" t="str">
        <f ca="1">AB293&amp;"-"&amp;COUNTIF($AB$2:$AB293,$AB293)</f>
        <v>1-2-0-20</v>
      </c>
      <c r="X293" s="983" t="s">
        <v>234</v>
      </c>
      <c r="Y293" s="985">
        <f t="shared" ca="1" si="79"/>
        <v>1</v>
      </c>
      <c r="Z293" s="988">
        <v>2</v>
      </c>
      <c r="AA293" s="985">
        <f t="shared" ca="1" si="73"/>
        <v>0</v>
      </c>
      <c r="AB293" s="987" t="str">
        <f t="shared" ca="1" si="74"/>
        <v>1-2-0</v>
      </c>
    </row>
    <row r="294" spans="1:28" ht="15" customHeight="1" x14ac:dyDescent="0.2">
      <c r="A294" s="130" t="s">
        <v>67</v>
      </c>
      <c r="B294" s="130" t="s">
        <v>87</v>
      </c>
      <c r="C294" s="130" t="s">
        <v>235</v>
      </c>
      <c r="D294" s="974" t="s">
        <v>123</v>
      </c>
      <c r="E294" s="130">
        <v>3</v>
      </c>
      <c r="F294" s="100" t="str">
        <f t="shared" si="75"/>
        <v>SITUATION-43</v>
      </c>
      <c r="G294" s="100">
        <f t="shared" si="72"/>
        <v>4</v>
      </c>
      <c r="H294" s="133">
        <f t="shared" ca="1" si="77"/>
        <v>0</v>
      </c>
      <c r="I294" s="133">
        <f t="shared" ca="1" si="76"/>
        <v>0</v>
      </c>
      <c r="W294" s="983" t="str">
        <f ca="1">AB294&amp;"-"&amp;COUNTIF($AB$2:$AB294,$AB294)</f>
        <v>1-3-0-33</v>
      </c>
      <c r="X294" s="983" t="s">
        <v>235</v>
      </c>
      <c r="Y294" s="985">
        <f t="shared" ca="1" si="79"/>
        <v>1</v>
      </c>
      <c r="Z294" s="988">
        <v>3</v>
      </c>
      <c r="AA294" s="985">
        <f t="shared" ca="1" si="73"/>
        <v>0</v>
      </c>
      <c r="AB294" s="987" t="str">
        <f t="shared" ca="1" si="74"/>
        <v>1-3-0</v>
      </c>
    </row>
    <row r="295" spans="1:28" ht="15" customHeight="1" x14ac:dyDescent="0.2">
      <c r="A295" s="130" t="s">
        <v>67</v>
      </c>
      <c r="B295" s="130" t="s">
        <v>87</v>
      </c>
      <c r="C295" s="130" t="s">
        <v>236</v>
      </c>
      <c r="D295" s="974" t="s">
        <v>126</v>
      </c>
      <c r="E295" s="130">
        <v>3</v>
      </c>
      <c r="F295" s="100" t="str">
        <f t="shared" si="75"/>
        <v>SITUATION-43</v>
      </c>
      <c r="G295" s="100">
        <f t="shared" si="72"/>
        <v>4</v>
      </c>
      <c r="H295" s="133">
        <f t="shared" ca="1" si="77"/>
        <v>0</v>
      </c>
      <c r="I295" s="133">
        <f t="shared" ca="1" si="76"/>
        <v>0</v>
      </c>
      <c r="W295" s="983" t="str">
        <f ca="1">AB295&amp;"-"&amp;COUNTIF($AB$2:$AB295,$AB295)</f>
        <v>1-3-0-34</v>
      </c>
      <c r="X295" s="983" t="s">
        <v>236</v>
      </c>
      <c r="Y295" s="985">
        <f t="shared" ca="1" si="79"/>
        <v>1</v>
      </c>
      <c r="Z295" s="988">
        <v>3</v>
      </c>
      <c r="AA295" s="985">
        <f t="shared" ca="1" si="73"/>
        <v>0</v>
      </c>
      <c r="AB295" s="987" t="str">
        <f t="shared" ca="1" si="74"/>
        <v>1-3-0</v>
      </c>
    </row>
    <row r="296" spans="1:28" ht="15" customHeight="1" x14ac:dyDescent="0.2">
      <c r="A296" s="130" t="s">
        <v>67</v>
      </c>
      <c r="B296" s="130" t="s">
        <v>87</v>
      </c>
      <c r="C296" s="130" t="s">
        <v>237</v>
      </c>
      <c r="D296" s="974" t="s">
        <v>129</v>
      </c>
      <c r="E296" s="130">
        <v>3</v>
      </c>
      <c r="F296" s="100" t="str">
        <f t="shared" si="75"/>
        <v>SITUATION-43</v>
      </c>
      <c r="G296" s="100">
        <f t="shared" si="72"/>
        <v>4</v>
      </c>
      <c r="H296" s="133">
        <f t="shared" ca="1" si="77"/>
        <v>0</v>
      </c>
      <c r="I296" s="133">
        <f t="shared" ca="1" si="76"/>
        <v>0</v>
      </c>
      <c r="W296" s="983" t="str">
        <f ca="1">AB296&amp;"-"&amp;COUNTIF($AB$2:$AB296,$AB296)</f>
        <v>1-3-0-35</v>
      </c>
      <c r="X296" s="983" t="s">
        <v>237</v>
      </c>
      <c r="Y296" s="985">
        <f t="shared" ca="1" si="79"/>
        <v>1</v>
      </c>
      <c r="Z296" s="988">
        <v>3</v>
      </c>
      <c r="AA296" s="985">
        <f t="shared" ca="1" si="73"/>
        <v>0</v>
      </c>
      <c r="AB296" s="987" t="str">
        <f t="shared" ca="1" si="74"/>
        <v>1-3-0</v>
      </c>
    </row>
    <row r="297" spans="1:28" ht="15" customHeight="1" x14ac:dyDescent="0.2">
      <c r="A297" s="130" t="s">
        <v>67</v>
      </c>
      <c r="B297" s="130" t="s">
        <v>87</v>
      </c>
      <c r="C297" s="130" t="s">
        <v>238</v>
      </c>
      <c r="D297" s="974" t="s">
        <v>131</v>
      </c>
      <c r="E297" s="130">
        <v>3</v>
      </c>
      <c r="F297" s="100" t="str">
        <f t="shared" si="75"/>
        <v>SITUATION-43</v>
      </c>
      <c r="G297" s="100">
        <f t="shared" si="72"/>
        <v>4</v>
      </c>
      <c r="H297" s="133">
        <f t="shared" ca="1" si="77"/>
        <v>0</v>
      </c>
      <c r="I297" s="133">
        <f t="shared" ca="1" si="76"/>
        <v>0</v>
      </c>
      <c r="W297" s="983" t="str">
        <f ca="1">AB297&amp;"-"&amp;COUNTIF($AB$2:$AB297,$AB297)</f>
        <v>1-3-0-36</v>
      </c>
      <c r="X297" s="983" t="s">
        <v>238</v>
      </c>
      <c r="Y297" s="985">
        <f t="shared" ca="1" si="79"/>
        <v>1</v>
      </c>
      <c r="Z297" s="988">
        <v>3</v>
      </c>
      <c r="AA297" s="985">
        <f t="shared" ca="1" si="73"/>
        <v>0</v>
      </c>
      <c r="AB297" s="987" t="str">
        <f t="shared" ca="1" si="74"/>
        <v>1-3-0</v>
      </c>
    </row>
    <row r="298" spans="1:28" ht="15" customHeight="1" x14ac:dyDescent="0.2">
      <c r="A298" s="130" t="s">
        <v>2619</v>
      </c>
      <c r="B298" s="130" t="s">
        <v>2621</v>
      </c>
      <c r="C298" s="130" t="s">
        <v>2623</v>
      </c>
      <c r="D298" s="974" t="s">
        <v>5</v>
      </c>
      <c r="E298" s="130">
        <v>1</v>
      </c>
      <c r="F298" s="100" t="str">
        <f t="shared" si="75"/>
        <v>THIRD-PARTIES-11</v>
      </c>
      <c r="G298" s="100">
        <f t="shared" si="72"/>
        <v>2</v>
      </c>
      <c r="H298" s="133">
        <f t="shared" ca="1" si="77"/>
        <v>0</v>
      </c>
      <c r="I298" s="133">
        <f t="shared" ca="1" si="76"/>
        <v>0</v>
      </c>
      <c r="W298" s="983" t="str">
        <f ca="1">AB298&amp;"-"&amp;COUNTIF($AB$2:$AB298,$AB298)</f>
        <v>0-1-0-48</v>
      </c>
      <c r="X298" s="983" t="s">
        <v>2623</v>
      </c>
      <c r="Y298" s="985">
        <f t="shared" ca="1" si="79"/>
        <v>0</v>
      </c>
      <c r="Z298" s="988">
        <v>1</v>
      </c>
      <c r="AA298" s="985">
        <f t="shared" ca="1" si="73"/>
        <v>0</v>
      </c>
      <c r="AB298" s="987" t="str">
        <f t="shared" ca="1" si="74"/>
        <v>0-1-0</v>
      </c>
    </row>
    <row r="299" spans="1:28" ht="15" customHeight="1" x14ac:dyDescent="0.2">
      <c r="A299" s="130" t="s">
        <v>2619</v>
      </c>
      <c r="B299" s="130" t="s">
        <v>2621</v>
      </c>
      <c r="C299" s="131" t="s">
        <v>2624</v>
      </c>
      <c r="D299" s="975" t="s">
        <v>7</v>
      </c>
      <c r="E299" s="130">
        <v>1</v>
      </c>
      <c r="F299" s="100" t="str">
        <f t="shared" si="75"/>
        <v>THIRD-PARTIES-11</v>
      </c>
      <c r="G299" s="100">
        <f t="shared" si="72"/>
        <v>2</v>
      </c>
      <c r="H299" s="133">
        <f t="shared" ca="1" si="77"/>
        <v>0</v>
      </c>
      <c r="I299" s="133">
        <f t="shared" ca="1" si="76"/>
        <v>0</v>
      </c>
      <c r="W299" s="983" t="str">
        <f ca="1">AB299&amp;"-"&amp;COUNTIF($AB$2:$AB299,$AB299)</f>
        <v>0-1-0-49</v>
      </c>
      <c r="X299" s="983" t="s">
        <v>2624</v>
      </c>
      <c r="Y299" s="985">
        <f t="shared" ca="1" si="79"/>
        <v>0</v>
      </c>
      <c r="Z299" s="988">
        <v>1</v>
      </c>
      <c r="AA299" s="985">
        <f t="shared" ca="1" si="73"/>
        <v>0</v>
      </c>
      <c r="AB299" s="987" t="str">
        <f t="shared" ca="1" si="74"/>
        <v>0-1-0</v>
      </c>
    </row>
    <row r="300" spans="1:28" ht="15" customHeight="1" x14ac:dyDescent="0.2">
      <c r="A300" s="130" t="s">
        <v>2619</v>
      </c>
      <c r="B300" s="130" t="s">
        <v>2621</v>
      </c>
      <c r="C300" s="132" t="s">
        <v>2625</v>
      </c>
      <c r="D300" s="976" t="s">
        <v>8</v>
      </c>
      <c r="E300" s="131">
        <v>2</v>
      </c>
      <c r="F300" s="100" t="str">
        <f t="shared" si="75"/>
        <v>THIRD-PARTIES-12</v>
      </c>
      <c r="G300" s="100">
        <f t="shared" si="72"/>
        <v>3</v>
      </c>
      <c r="H300" s="133">
        <f t="shared" ca="1" si="77"/>
        <v>0</v>
      </c>
      <c r="I300" s="133">
        <f t="shared" ca="1" si="76"/>
        <v>0</v>
      </c>
      <c r="W300" s="983" t="str">
        <f ca="1">AB300&amp;"-"&amp;COUNTIF($AB$2:$AB300,$AB300)</f>
        <v>0-2-0-126</v>
      </c>
      <c r="X300" s="983" t="s">
        <v>2625</v>
      </c>
      <c r="Y300" s="985">
        <f t="shared" ca="1" si="79"/>
        <v>0</v>
      </c>
      <c r="Z300" s="988">
        <v>2</v>
      </c>
      <c r="AA300" s="985">
        <f t="shared" ca="1" si="73"/>
        <v>0</v>
      </c>
      <c r="AB300" s="987" t="str">
        <f t="shared" ca="1" si="74"/>
        <v>0-2-0</v>
      </c>
    </row>
    <row r="301" spans="1:28" ht="15" customHeight="1" x14ac:dyDescent="0.2">
      <c r="A301" s="130" t="s">
        <v>2619</v>
      </c>
      <c r="B301" s="130" t="s">
        <v>2621</v>
      </c>
      <c r="C301" s="132" t="s">
        <v>2626</v>
      </c>
      <c r="D301" s="976" t="s">
        <v>9</v>
      </c>
      <c r="E301" s="132">
        <v>2</v>
      </c>
      <c r="F301" s="100" t="str">
        <f t="shared" si="75"/>
        <v>THIRD-PARTIES-12</v>
      </c>
      <c r="G301" s="100">
        <f t="shared" si="72"/>
        <v>3</v>
      </c>
      <c r="H301" s="133">
        <f t="shared" ca="1" si="77"/>
        <v>0</v>
      </c>
      <c r="I301" s="133">
        <f t="shared" ca="1" si="76"/>
        <v>0</v>
      </c>
      <c r="W301" s="983" t="str">
        <f ca="1">AB301&amp;"-"&amp;COUNTIF($AB$2:$AB301,$AB301)</f>
        <v>0-2-0-127</v>
      </c>
      <c r="X301" s="983" t="s">
        <v>2626</v>
      </c>
      <c r="Y301" s="985">
        <f t="shared" ca="1" si="79"/>
        <v>0</v>
      </c>
      <c r="Z301" s="988">
        <v>2</v>
      </c>
      <c r="AA301" s="985">
        <f t="shared" ca="1" si="73"/>
        <v>0</v>
      </c>
      <c r="AB301" s="987" t="str">
        <f t="shared" ca="1" si="74"/>
        <v>0-2-0</v>
      </c>
    </row>
    <row r="302" spans="1:28" ht="15" customHeight="1" x14ac:dyDescent="0.2">
      <c r="A302" s="130" t="s">
        <v>2619</v>
      </c>
      <c r="B302" s="130" t="s">
        <v>2621</v>
      </c>
      <c r="C302" s="132" t="s">
        <v>2627</v>
      </c>
      <c r="D302" s="976" t="s">
        <v>10</v>
      </c>
      <c r="E302" s="132">
        <v>2</v>
      </c>
      <c r="F302" s="100" t="str">
        <f t="shared" si="75"/>
        <v>THIRD-PARTIES-12</v>
      </c>
      <c r="G302" s="100">
        <f t="shared" si="72"/>
        <v>3</v>
      </c>
      <c r="H302" s="133">
        <f t="shared" ca="1" si="77"/>
        <v>0</v>
      </c>
      <c r="I302" s="133">
        <f t="shared" ca="1" si="76"/>
        <v>0</v>
      </c>
      <c r="W302" s="983" t="str">
        <f ca="1">AB302&amp;"-"&amp;COUNTIF($AB$2:$AB302,$AB302)</f>
        <v>0-2-0-128</v>
      </c>
      <c r="X302" s="983" t="s">
        <v>2627</v>
      </c>
      <c r="Y302" s="985">
        <f t="shared" ca="1" si="79"/>
        <v>0</v>
      </c>
      <c r="Z302" s="988">
        <v>2</v>
      </c>
      <c r="AA302" s="985">
        <f t="shared" ca="1" si="73"/>
        <v>0</v>
      </c>
      <c r="AB302" s="987" t="str">
        <f t="shared" ca="1" si="74"/>
        <v>0-2-0</v>
      </c>
    </row>
    <row r="303" spans="1:28" ht="15" customHeight="1" x14ac:dyDescent="0.2">
      <c r="A303" s="130" t="s">
        <v>2619</v>
      </c>
      <c r="B303" s="130" t="s">
        <v>2621</v>
      </c>
      <c r="C303" s="132" t="s">
        <v>2628</v>
      </c>
      <c r="D303" s="976" t="s">
        <v>11</v>
      </c>
      <c r="E303" s="132">
        <v>3</v>
      </c>
      <c r="F303" s="100" t="str">
        <f t="shared" si="75"/>
        <v>THIRD-PARTIES-13</v>
      </c>
      <c r="G303" s="100">
        <f t="shared" si="72"/>
        <v>1</v>
      </c>
      <c r="H303" s="133">
        <f t="shared" ca="1" si="77"/>
        <v>0</v>
      </c>
      <c r="I303" s="133">
        <f t="shared" ref="I303" ca="1" si="80">IFERROR(IF(H303&gt;2,1,0),0)</f>
        <v>0</v>
      </c>
      <c r="W303" s="983" t="str">
        <f ca="1">AB303&amp;"-"&amp;COUNTIF($AB$2:$AB303,$AB303)</f>
        <v>0-3-0-69</v>
      </c>
      <c r="X303" s="983" t="s">
        <v>2628</v>
      </c>
      <c r="Y303" s="985">
        <f t="shared" ca="1" si="79"/>
        <v>0</v>
      </c>
      <c r="Z303" s="988">
        <v>3</v>
      </c>
      <c r="AA303" s="985">
        <f t="shared" ca="1" si="73"/>
        <v>0</v>
      </c>
      <c r="AB303" s="987" t="str">
        <f t="shared" ca="1" si="74"/>
        <v>0-3-0</v>
      </c>
    </row>
    <row r="304" spans="1:28" ht="15" customHeight="1" x14ac:dyDescent="0.2">
      <c r="A304" s="130" t="s">
        <v>2619</v>
      </c>
      <c r="B304" s="132" t="s">
        <v>2629</v>
      </c>
      <c r="C304" s="132" t="s">
        <v>2631</v>
      </c>
      <c r="D304" s="976" t="s">
        <v>17</v>
      </c>
      <c r="E304" s="132">
        <v>1</v>
      </c>
      <c r="F304" s="100" t="str">
        <f t="shared" si="75"/>
        <v>THIRD-PARTIES-21</v>
      </c>
      <c r="G304" s="100">
        <f t="shared" si="72"/>
        <v>2</v>
      </c>
      <c r="H304" s="133">
        <f t="shared" ca="1" si="77"/>
        <v>0</v>
      </c>
      <c r="I304" s="133">
        <f t="shared" ca="1" si="76"/>
        <v>0</v>
      </c>
      <c r="W304" s="983" t="str">
        <f ca="1">AB304&amp;"-"&amp;COUNTIF($AB$2:$AB304,$AB304)</f>
        <v>0-1-0-50</v>
      </c>
      <c r="X304" s="983" t="s">
        <v>2631</v>
      </c>
      <c r="Y304" s="985">
        <f t="shared" ca="1" si="79"/>
        <v>0</v>
      </c>
      <c r="Z304" s="988">
        <v>1</v>
      </c>
      <c r="AA304" s="985">
        <f t="shared" ca="1" si="73"/>
        <v>0</v>
      </c>
      <c r="AB304" s="987" t="str">
        <f t="shared" ca="1" si="74"/>
        <v>0-1-0</v>
      </c>
    </row>
    <row r="305" spans="1:28" ht="15" customHeight="1" x14ac:dyDescent="0.2">
      <c r="A305" s="130" t="s">
        <v>2619</v>
      </c>
      <c r="B305" s="132" t="s">
        <v>2629</v>
      </c>
      <c r="C305" s="130" t="s">
        <v>2632</v>
      </c>
      <c r="D305" s="974" t="s">
        <v>18</v>
      </c>
      <c r="E305" s="132">
        <v>1</v>
      </c>
      <c r="F305" s="100" t="str">
        <f t="shared" si="75"/>
        <v>THIRD-PARTIES-21</v>
      </c>
      <c r="G305" s="100">
        <f t="shared" si="72"/>
        <v>2</v>
      </c>
      <c r="H305" s="133">
        <f t="shared" ca="1" si="77"/>
        <v>0</v>
      </c>
      <c r="I305" s="133">
        <f t="shared" ca="1" si="76"/>
        <v>0</v>
      </c>
      <c r="W305" s="983" t="str">
        <f ca="1">AB305&amp;"-"&amp;COUNTIF($AB$2:$AB305,$AB305)</f>
        <v>0-1-0-51</v>
      </c>
      <c r="X305" s="983" t="s">
        <v>2632</v>
      </c>
      <c r="Y305" s="985">
        <f t="shared" ca="1" si="79"/>
        <v>0</v>
      </c>
      <c r="Z305" s="988">
        <v>1</v>
      </c>
      <c r="AA305" s="985">
        <f t="shared" ca="1" si="73"/>
        <v>0</v>
      </c>
      <c r="AB305" s="987" t="str">
        <f t="shared" ca="1" si="74"/>
        <v>0-1-0</v>
      </c>
    </row>
    <row r="306" spans="1:28" ht="15" customHeight="1" x14ac:dyDescent="0.2">
      <c r="A306" s="130" t="s">
        <v>2619</v>
      </c>
      <c r="B306" s="132" t="s">
        <v>2629</v>
      </c>
      <c r="C306" s="130" t="s">
        <v>2633</v>
      </c>
      <c r="D306" s="974" t="s">
        <v>19</v>
      </c>
      <c r="E306" s="130">
        <v>2</v>
      </c>
      <c r="F306" s="100" t="str">
        <f t="shared" si="75"/>
        <v>THIRD-PARTIES-22</v>
      </c>
      <c r="G306" s="100">
        <f t="shared" si="72"/>
        <v>5</v>
      </c>
      <c r="H306" s="133">
        <f t="shared" ca="1" si="77"/>
        <v>0</v>
      </c>
      <c r="I306" s="133">
        <f t="shared" ca="1" si="76"/>
        <v>0</v>
      </c>
      <c r="W306" s="983" t="str">
        <f ca="1">AB306&amp;"-"&amp;COUNTIF($AB$2:$AB306,$AB306)</f>
        <v>0-2-0-129</v>
      </c>
      <c r="X306" s="983" t="s">
        <v>2633</v>
      </c>
      <c r="Y306" s="985">
        <f t="shared" ca="1" si="79"/>
        <v>0</v>
      </c>
      <c r="Z306" s="988">
        <v>2</v>
      </c>
      <c r="AA306" s="985">
        <f t="shared" ca="1" si="73"/>
        <v>0</v>
      </c>
      <c r="AB306" s="987" t="str">
        <f t="shared" ca="1" si="74"/>
        <v>0-2-0</v>
      </c>
    </row>
    <row r="307" spans="1:28" ht="15" customHeight="1" x14ac:dyDescent="0.2">
      <c r="A307" s="130" t="s">
        <v>2619</v>
      </c>
      <c r="B307" s="132" t="s">
        <v>2629</v>
      </c>
      <c r="C307" s="130" t="s">
        <v>2634</v>
      </c>
      <c r="D307" s="974" t="s">
        <v>20</v>
      </c>
      <c r="E307" s="130">
        <v>2</v>
      </c>
      <c r="F307" s="100" t="str">
        <f t="shared" si="75"/>
        <v>THIRD-PARTIES-22</v>
      </c>
      <c r="G307" s="100">
        <f t="shared" si="72"/>
        <v>5</v>
      </c>
      <c r="H307" s="133">
        <f t="shared" ca="1" si="77"/>
        <v>0</v>
      </c>
      <c r="I307" s="133">
        <f t="shared" ca="1" si="76"/>
        <v>0</v>
      </c>
      <c r="W307" s="983" t="str">
        <f ca="1">AB307&amp;"-"&amp;COUNTIF($AB$2:$AB307,$AB307)</f>
        <v>0-2-0-130</v>
      </c>
      <c r="X307" s="983" t="s">
        <v>2634</v>
      </c>
      <c r="Y307" s="985">
        <f t="shared" ca="1" si="79"/>
        <v>0</v>
      </c>
      <c r="Z307" s="988">
        <v>2</v>
      </c>
      <c r="AA307" s="985">
        <f t="shared" ca="1" si="73"/>
        <v>0</v>
      </c>
      <c r="AB307" s="987" t="str">
        <f t="shared" ca="1" si="74"/>
        <v>0-2-0</v>
      </c>
    </row>
    <row r="308" spans="1:28" ht="15" customHeight="1" x14ac:dyDescent="0.2">
      <c r="A308" s="130" t="s">
        <v>2619</v>
      </c>
      <c r="B308" s="132" t="s">
        <v>2629</v>
      </c>
      <c r="C308" s="130" t="s">
        <v>2635</v>
      </c>
      <c r="D308" s="974" t="s">
        <v>21</v>
      </c>
      <c r="E308" s="130">
        <v>2</v>
      </c>
      <c r="F308" s="100" t="str">
        <f t="shared" si="75"/>
        <v>THIRD-PARTIES-22</v>
      </c>
      <c r="G308" s="100">
        <f t="shared" si="72"/>
        <v>5</v>
      </c>
      <c r="H308" s="133">
        <f t="shared" ca="1" si="77"/>
        <v>0</v>
      </c>
      <c r="I308" s="133">
        <f t="shared" ca="1" si="76"/>
        <v>0</v>
      </c>
      <c r="W308" s="983" t="str">
        <f ca="1">AB308&amp;"-"&amp;COUNTIF($AB$2:$AB308,$AB308)</f>
        <v>0-2-0-131</v>
      </c>
      <c r="X308" s="983" t="s">
        <v>2635</v>
      </c>
      <c r="Y308" s="985">
        <f t="shared" ca="1" si="79"/>
        <v>0</v>
      </c>
      <c r="Z308" s="988">
        <v>2</v>
      </c>
      <c r="AA308" s="985">
        <f t="shared" ca="1" si="73"/>
        <v>0</v>
      </c>
      <c r="AB308" s="987" t="str">
        <f t="shared" ca="1" si="74"/>
        <v>0-2-0</v>
      </c>
    </row>
    <row r="309" spans="1:28" ht="15" customHeight="1" x14ac:dyDescent="0.2">
      <c r="A309" s="130" t="s">
        <v>2619</v>
      </c>
      <c r="B309" s="132" t="s">
        <v>2629</v>
      </c>
      <c r="C309" s="130" t="s">
        <v>2636</v>
      </c>
      <c r="D309" s="974" t="s">
        <v>103</v>
      </c>
      <c r="E309" s="130">
        <v>2</v>
      </c>
      <c r="F309" s="100" t="str">
        <f t="shared" si="75"/>
        <v>THIRD-PARTIES-22</v>
      </c>
      <c r="G309" s="100">
        <f t="shared" si="72"/>
        <v>5</v>
      </c>
      <c r="H309" s="133">
        <f t="shared" ca="1" si="77"/>
        <v>0</v>
      </c>
      <c r="I309" s="133">
        <f t="shared" ca="1" si="76"/>
        <v>0</v>
      </c>
      <c r="W309" s="983" t="str">
        <f ca="1">AB309&amp;"-"&amp;COUNTIF($AB$2:$AB309,$AB309)</f>
        <v>0-2-0-132</v>
      </c>
      <c r="X309" s="983" t="s">
        <v>2636</v>
      </c>
      <c r="Y309" s="985">
        <f t="shared" ca="1" si="79"/>
        <v>0</v>
      </c>
      <c r="Z309" s="988">
        <v>2</v>
      </c>
      <c r="AA309" s="985">
        <f t="shared" ca="1" si="73"/>
        <v>0</v>
      </c>
      <c r="AB309" s="987" t="str">
        <f t="shared" ca="1" si="74"/>
        <v>0-2-0</v>
      </c>
    </row>
    <row r="310" spans="1:28" ht="15" customHeight="1" x14ac:dyDescent="0.2">
      <c r="A310" s="130" t="s">
        <v>2619</v>
      </c>
      <c r="B310" s="132" t="s">
        <v>2629</v>
      </c>
      <c r="C310" s="130" t="s">
        <v>2637</v>
      </c>
      <c r="D310" s="974" t="s">
        <v>165</v>
      </c>
      <c r="E310" s="130">
        <v>2</v>
      </c>
      <c r="F310" s="100" t="str">
        <f t="shared" si="75"/>
        <v>THIRD-PARTIES-22</v>
      </c>
      <c r="G310" s="100">
        <f t="shared" si="72"/>
        <v>5</v>
      </c>
      <c r="H310" s="133">
        <f t="shared" ca="1" si="77"/>
        <v>0</v>
      </c>
      <c r="I310" s="133">
        <f t="shared" ca="1" si="76"/>
        <v>0</v>
      </c>
      <c r="W310" s="983" t="str">
        <f ca="1">AB310&amp;"-"&amp;COUNTIF($AB$2:$AB310,$AB310)</f>
        <v>0-2-0-133</v>
      </c>
      <c r="X310" s="983" t="s">
        <v>2637</v>
      </c>
      <c r="Y310" s="985">
        <f t="shared" ref="Y310:Y373" ca="1" si="81">VLOOKUP(LEFT($X310,LEN($X310)-1),$K:$O,5,FALSE)</f>
        <v>0</v>
      </c>
      <c r="Z310" s="988">
        <v>2</v>
      </c>
      <c r="AA310" s="985">
        <f t="shared" ca="1" si="73"/>
        <v>0</v>
      </c>
      <c r="AB310" s="987" t="str">
        <f t="shared" ca="1" si="74"/>
        <v>0-2-0</v>
      </c>
    </row>
    <row r="311" spans="1:28" ht="15" customHeight="1" x14ac:dyDescent="0.2">
      <c r="A311" s="130" t="s">
        <v>2619</v>
      </c>
      <c r="B311" s="132" t="s">
        <v>2629</v>
      </c>
      <c r="C311" s="130" t="s">
        <v>2638</v>
      </c>
      <c r="D311" s="974" t="s">
        <v>167</v>
      </c>
      <c r="E311" s="130">
        <v>3</v>
      </c>
      <c r="F311" s="100" t="str">
        <f t="shared" si="75"/>
        <v>THIRD-PARTIES-23</v>
      </c>
      <c r="G311" s="100">
        <f t="shared" si="72"/>
        <v>6</v>
      </c>
      <c r="H311" s="133">
        <f t="shared" ca="1" si="77"/>
        <v>0</v>
      </c>
      <c r="I311" s="133">
        <f t="shared" ca="1" si="76"/>
        <v>0</v>
      </c>
      <c r="W311" s="983" t="str">
        <f ca="1">AB311&amp;"-"&amp;COUNTIF($AB$2:$AB311,$AB311)</f>
        <v>0-3-0-70</v>
      </c>
      <c r="X311" s="983" t="s">
        <v>2638</v>
      </c>
      <c r="Y311" s="985">
        <f t="shared" ca="1" si="81"/>
        <v>0</v>
      </c>
      <c r="Z311" s="988">
        <v>3</v>
      </c>
      <c r="AA311" s="985">
        <f t="shared" ca="1" si="73"/>
        <v>0</v>
      </c>
      <c r="AB311" s="987" t="str">
        <f t="shared" ca="1" si="74"/>
        <v>0-3-0</v>
      </c>
    </row>
    <row r="312" spans="1:28" ht="15" customHeight="1" x14ac:dyDescent="0.2">
      <c r="A312" s="130" t="s">
        <v>2619</v>
      </c>
      <c r="B312" s="132" t="s">
        <v>2629</v>
      </c>
      <c r="C312" s="130" t="s">
        <v>2639</v>
      </c>
      <c r="D312" s="974" t="s">
        <v>198</v>
      </c>
      <c r="E312" s="130">
        <v>3</v>
      </c>
      <c r="F312" s="100" t="str">
        <f t="shared" si="75"/>
        <v>THIRD-PARTIES-23</v>
      </c>
      <c r="G312" s="100">
        <f t="shared" si="72"/>
        <v>6</v>
      </c>
      <c r="H312" s="133">
        <f t="shared" ca="1" si="77"/>
        <v>0</v>
      </c>
      <c r="I312" s="133">
        <f t="shared" ca="1" si="76"/>
        <v>0</v>
      </c>
      <c r="W312" s="983" t="str">
        <f ca="1">AB312&amp;"-"&amp;COUNTIF($AB$2:$AB312,$AB312)</f>
        <v>0-3-0-71</v>
      </c>
      <c r="X312" s="983" t="s">
        <v>2639</v>
      </c>
      <c r="Y312" s="985">
        <f t="shared" ca="1" si="81"/>
        <v>0</v>
      </c>
      <c r="Z312" s="988">
        <v>3</v>
      </c>
      <c r="AA312" s="985">
        <f t="shared" ca="1" si="73"/>
        <v>0</v>
      </c>
      <c r="AB312" s="987" t="str">
        <f t="shared" ca="1" si="74"/>
        <v>0-3-0</v>
      </c>
    </row>
    <row r="313" spans="1:28" ht="15" customHeight="1" x14ac:dyDescent="0.2">
      <c r="A313" s="130" t="s">
        <v>2619</v>
      </c>
      <c r="B313" s="132" t="s">
        <v>2629</v>
      </c>
      <c r="C313" s="130" t="s">
        <v>2640</v>
      </c>
      <c r="D313" s="974" t="s">
        <v>200</v>
      </c>
      <c r="E313" s="130">
        <v>3</v>
      </c>
      <c r="F313" s="100" t="str">
        <f t="shared" si="75"/>
        <v>THIRD-PARTIES-23</v>
      </c>
      <c r="G313" s="100">
        <f t="shared" si="72"/>
        <v>6</v>
      </c>
      <c r="H313" s="133">
        <f t="shared" ca="1" si="77"/>
        <v>0</v>
      </c>
      <c r="I313" s="133">
        <f t="shared" ca="1" si="76"/>
        <v>0</v>
      </c>
      <c r="W313" s="983" t="str">
        <f ca="1">AB313&amp;"-"&amp;COUNTIF($AB$2:$AB313,$AB313)</f>
        <v>0-3-0-72</v>
      </c>
      <c r="X313" s="983" t="s">
        <v>2640</v>
      </c>
      <c r="Y313" s="985">
        <f t="shared" ca="1" si="81"/>
        <v>0</v>
      </c>
      <c r="Z313" s="988">
        <v>3</v>
      </c>
      <c r="AA313" s="985">
        <f t="shared" ca="1" si="73"/>
        <v>0</v>
      </c>
      <c r="AB313" s="987" t="str">
        <f t="shared" ca="1" si="74"/>
        <v>0-3-0</v>
      </c>
    </row>
    <row r="314" spans="1:28" ht="15" customHeight="1" x14ac:dyDescent="0.2">
      <c r="A314" s="130" t="s">
        <v>2619</v>
      </c>
      <c r="B314" s="132" t="s">
        <v>2629</v>
      </c>
      <c r="C314" s="130" t="s">
        <v>2641</v>
      </c>
      <c r="D314" s="974" t="s">
        <v>202</v>
      </c>
      <c r="E314" s="130">
        <v>3</v>
      </c>
      <c r="F314" s="100" t="str">
        <f t="shared" si="75"/>
        <v>THIRD-PARTIES-23</v>
      </c>
      <c r="G314" s="100">
        <f t="shared" si="72"/>
        <v>6</v>
      </c>
      <c r="H314" s="133">
        <f t="shared" ca="1" si="77"/>
        <v>0</v>
      </c>
      <c r="I314" s="133">
        <f t="shared" ca="1" si="76"/>
        <v>0</v>
      </c>
      <c r="W314" s="983" t="str">
        <f ca="1">AB314&amp;"-"&amp;COUNTIF($AB$2:$AB314,$AB314)</f>
        <v>0-3-0-73</v>
      </c>
      <c r="X314" s="983" t="s">
        <v>2641</v>
      </c>
      <c r="Y314" s="985">
        <f t="shared" ca="1" si="81"/>
        <v>0</v>
      </c>
      <c r="Z314" s="988">
        <v>3</v>
      </c>
      <c r="AA314" s="985">
        <f t="shared" ca="1" si="73"/>
        <v>0</v>
      </c>
      <c r="AB314" s="987" t="str">
        <f t="shared" ca="1" si="74"/>
        <v>0-3-0</v>
      </c>
    </row>
    <row r="315" spans="1:28" ht="15" customHeight="1" x14ac:dyDescent="0.2">
      <c r="A315" s="130" t="s">
        <v>2619</v>
      </c>
      <c r="B315" s="132" t="s">
        <v>2629</v>
      </c>
      <c r="C315" s="130" t="s">
        <v>2642</v>
      </c>
      <c r="D315" s="974" t="s">
        <v>203</v>
      </c>
      <c r="E315" s="130">
        <v>3</v>
      </c>
      <c r="F315" s="100" t="str">
        <f t="shared" si="75"/>
        <v>THIRD-PARTIES-23</v>
      </c>
      <c r="G315" s="100">
        <f t="shared" si="72"/>
        <v>6</v>
      </c>
      <c r="H315" s="133">
        <f t="shared" ca="1" si="77"/>
        <v>0</v>
      </c>
      <c r="I315" s="133">
        <f t="shared" ref="I315:I316" ca="1" si="82">IFERROR(IF(H315&gt;2,1,0),0)</f>
        <v>0</v>
      </c>
      <c r="W315" s="983" t="str">
        <f ca="1">AB315&amp;"-"&amp;COUNTIF($AB$2:$AB315,$AB315)</f>
        <v>0-3-0-74</v>
      </c>
      <c r="X315" s="983" t="s">
        <v>2642</v>
      </c>
      <c r="Y315" s="985">
        <f t="shared" ca="1" si="81"/>
        <v>0</v>
      </c>
      <c r="Z315" s="988">
        <v>3</v>
      </c>
      <c r="AA315" s="985">
        <f t="shared" ca="1" si="73"/>
        <v>0</v>
      </c>
      <c r="AB315" s="987" t="str">
        <f t="shared" ca="1" si="74"/>
        <v>0-3-0</v>
      </c>
    </row>
    <row r="316" spans="1:28" ht="15" customHeight="1" x14ac:dyDescent="0.2">
      <c r="A316" s="130" t="s">
        <v>2619</v>
      </c>
      <c r="B316" s="132" t="s">
        <v>2629</v>
      </c>
      <c r="C316" s="130" t="s">
        <v>2643</v>
      </c>
      <c r="D316" s="974" t="s">
        <v>204</v>
      </c>
      <c r="E316" s="130">
        <v>3</v>
      </c>
      <c r="F316" s="100" t="str">
        <f t="shared" si="75"/>
        <v>THIRD-PARTIES-23</v>
      </c>
      <c r="G316" s="100">
        <f t="shared" si="72"/>
        <v>6</v>
      </c>
      <c r="H316" s="133">
        <f t="shared" ca="1" si="77"/>
        <v>0</v>
      </c>
      <c r="I316" s="133">
        <f t="shared" ca="1" si="82"/>
        <v>0</v>
      </c>
      <c r="W316" s="983" t="str">
        <f ca="1">AB316&amp;"-"&amp;COUNTIF($AB$2:$AB316,$AB316)</f>
        <v>0-3-0-75</v>
      </c>
      <c r="X316" s="983" t="s">
        <v>2643</v>
      </c>
      <c r="Y316" s="985">
        <f t="shared" ca="1" si="81"/>
        <v>0</v>
      </c>
      <c r="Z316" s="988">
        <v>3</v>
      </c>
      <c r="AA316" s="985">
        <f t="shared" ca="1" si="73"/>
        <v>0</v>
      </c>
      <c r="AB316" s="987" t="str">
        <f t="shared" ca="1" si="74"/>
        <v>0-3-0</v>
      </c>
    </row>
    <row r="317" spans="1:28" ht="15" customHeight="1" x14ac:dyDescent="0.2">
      <c r="A317" s="130" t="s">
        <v>2619</v>
      </c>
      <c r="B317" s="132" t="s">
        <v>2644</v>
      </c>
      <c r="C317" s="130" t="s">
        <v>2646</v>
      </c>
      <c r="D317" s="974" t="s">
        <v>22</v>
      </c>
      <c r="E317" s="130">
        <v>2</v>
      </c>
      <c r="F317" s="100" t="str">
        <f t="shared" si="75"/>
        <v>THIRD-PARTIES-32</v>
      </c>
      <c r="G317" s="100">
        <f t="shared" si="72"/>
        <v>2</v>
      </c>
      <c r="H317" s="133">
        <f t="shared" ca="1" si="77"/>
        <v>0</v>
      </c>
      <c r="I317" s="133">
        <f t="shared" ca="1" si="76"/>
        <v>0</v>
      </c>
      <c r="W317" s="983" t="str">
        <f ca="1">AB317&amp;"-"&amp;COUNTIF($AB$2:$AB317,$AB317)</f>
        <v>1-2-0-21</v>
      </c>
      <c r="X317" s="983" t="s">
        <v>2646</v>
      </c>
      <c r="Y317" s="985">
        <f t="shared" ca="1" si="81"/>
        <v>1</v>
      </c>
      <c r="Z317" s="988">
        <v>2</v>
      </c>
      <c r="AA317" s="985">
        <f t="shared" ca="1" si="73"/>
        <v>0</v>
      </c>
      <c r="AB317" s="987" t="str">
        <f t="shared" ca="1" si="74"/>
        <v>1-2-0</v>
      </c>
    </row>
    <row r="318" spans="1:28" ht="15" customHeight="1" x14ac:dyDescent="0.2">
      <c r="A318" s="130" t="s">
        <v>2619</v>
      </c>
      <c r="B318" s="132" t="s">
        <v>2644</v>
      </c>
      <c r="C318" s="130" t="s">
        <v>2647</v>
      </c>
      <c r="D318" s="974" t="s">
        <v>23</v>
      </c>
      <c r="E318" s="130">
        <v>2</v>
      </c>
      <c r="F318" s="100" t="str">
        <f t="shared" si="75"/>
        <v>THIRD-PARTIES-32</v>
      </c>
      <c r="G318" s="100">
        <f t="shared" si="72"/>
        <v>2</v>
      </c>
      <c r="H318" s="133">
        <f t="shared" ca="1" si="77"/>
        <v>0</v>
      </c>
      <c r="I318" s="133">
        <f t="shared" ca="1" si="76"/>
        <v>0</v>
      </c>
      <c r="W318" s="983" t="str">
        <f ca="1">AB318&amp;"-"&amp;COUNTIF($AB$2:$AB318,$AB318)</f>
        <v>1-2-0-22</v>
      </c>
      <c r="X318" s="983" t="s">
        <v>2647</v>
      </c>
      <c r="Y318" s="985">
        <f t="shared" ca="1" si="81"/>
        <v>1</v>
      </c>
      <c r="Z318" s="988">
        <v>2</v>
      </c>
      <c r="AA318" s="985">
        <f t="shared" ca="1" si="73"/>
        <v>0</v>
      </c>
      <c r="AB318" s="987" t="str">
        <f t="shared" ca="1" si="74"/>
        <v>1-2-0</v>
      </c>
    </row>
    <row r="319" spans="1:28" ht="15" customHeight="1" x14ac:dyDescent="0.2">
      <c r="A319" s="130" t="s">
        <v>2619</v>
      </c>
      <c r="B319" s="132" t="s">
        <v>2644</v>
      </c>
      <c r="C319" s="130" t="s">
        <v>2648</v>
      </c>
      <c r="D319" s="974" t="s">
        <v>24</v>
      </c>
      <c r="E319" s="130">
        <v>3</v>
      </c>
      <c r="F319" s="100" t="str">
        <f t="shared" si="75"/>
        <v>THIRD-PARTIES-33</v>
      </c>
      <c r="G319" s="100">
        <f t="shared" si="72"/>
        <v>4</v>
      </c>
      <c r="H319" s="133">
        <f t="shared" ca="1" si="77"/>
        <v>0</v>
      </c>
      <c r="I319" s="133">
        <f t="shared" ca="1" si="76"/>
        <v>0</v>
      </c>
      <c r="W319" s="983" t="str">
        <f ca="1">AB319&amp;"-"&amp;COUNTIF($AB$2:$AB319,$AB319)</f>
        <v>1-3-0-37</v>
      </c>
      <c r="X319" s="983" t="s">
        <v>2648</v>
      </c>
      <c r="Y319" s="985">
        <f t="shared" ca="1" si="81"/>
        <v>1</v>
      </c>
      <c r="Z319" s="988">
        <v>3</v>
      </c>
      <c r="AA319" s="985">
        <f t="shared" ca="1" si="73"/>
        <v>0</v>
      </c>
      <c r="AB319" s="987" t="str">
        <f t="shared" ca="1" si="74"/>
        <v>1-3-0</v>
      </c>
    </row>
    <row r="320" spans="1:28" ht="15" customHeight="1" x14ac:dyDescent="0.2">
      <c r="A320" s="130" t="s">
        <v>2619</v>
      </c>
      <c r="B320" s="132" t="s">
        <v>2644</v>
      </c>
      <c r="C320" s="130" t="s">
        <v>2649</v>
      </c>
      <c r="D320" s="974" t="s">
        <v>25</v>
      </c>
      <c r="E320" s="130">
        <v>3</v>
      </c>
      <c r="F320" s="100" t="str">
        <f t="shared" si="75"/>
        <v>THIRD-PARTIES-33</v>
      </c>
      <c r="G320" s="100">
        <f t="shared" si="72"/>
        <v>4</v>
      </c>
      <c r="H320" s="133">
        <f t="shared" ca="1" si="77"/>
        <v>0</v>
      </c>
      <c r="I320" s="133">
        <f t="shared" ca="1" si="76"/>
        <v>0</v>
      </c>
      <c r="W320" s="983" t="str">
        <f ca="1">AB320&amp;"-"&amp;COUNTIF($AB$2:$AB320,$AB320)</f>
        <v>1-3-0-38</v>
      </c>
      <c r="X320" s="983" t="s">
        <v>2649</v>
      </c>
      <c r="Y320" s="985">
        <f t="shared" ca="1" si="81"/>
        <v>1</v>
      </c>
      <c r="Z320" s="988">
        <v>3</v>
      </c>
      <c r="AA320" s="985">
        <f t="shared" ca="1" si="73"/>
        <v>0</v>
      </c>
      <c r="AB320" s="987" t="str">
        <f t="shared" ca="1" si="74"/>
        <v>1-3-0</v>
      </c>
    </row>
    <row r="321" spans="1:28" ht="15" customHeight="1" x14ac:dyDescent="0.2">
      <c r="A321" s="130" t="s">
        <v>2619</v>
      </c>
      <c r="B321" s="132" t="s">
        <v>2644</v>
      </c>
      <c r="C321" s="130" t="s">
        <v>2650</v>
      </c>
      <c r="D321" s="974" t="s">
        <v>26</v>
      </c>
      <c r="E321" s="130">
        <v>3</v>
      </c>
      <c r="F321" s="100" t="str">
        <f t="shared" si="75"/>
        <v>THIRD-PARTIES-33</v>
      </c>
      <c r="G321" s="100">
        <f t="shared" si="72"/>
        <v>4</v>
      </c>
      <c r="H321" s="133">
        <f t="shared" ca="1" si="77"/>
        <v>0</v>
      </c>
      <c r="I321" s="133">
        <f t="shared" ca="1" si="76"/>
        <v>0</v>
      </c>
      <c r="W321" s="983" t="str">
        <f ca="1">AB321&amp;"-"&amp;COUNTIF($AB$2:$AB321,$AB321)</f>
        <v>1-3-0-39</v>
      </c>
      <c r="X321" s="983" t="s">
        <v>2650</v>
      </c>
      <c r="Y321" s="985">
        <f t="shared" ca="1" si="81"/>
        <v>1</v>
      </c>
      <c r="Z321" s="988">
        <v>3</v>
      </c>
      <c r="AA321" s="985">
        <f t="shared" ca="1" si="73"/>
        <v>0</v>
      </c>
      <c r="AB321" s="987" t="str">
        <f t="shared" ca="1" si="74"/>
        <v>1-3-0</v>
      </c>
    </row>
    <row r="322" spans="1:28" ht="15" customHeight="1" x14ac:dyDescent="0.2">
      <c r="A322" s="130" t="s">
        <v>2619</v>
      </c>
      <c r="B322" s="132" t="s">
        <v>2644</v>
      </c>
      <c r="C322" s="130" t="s">
        <v>2651</v>
      </c>
      <c r="D322" s="974" t="s">
        <v>27</v>
      </c>
      <c r="E322" s="130">
        <v>3</v>
      </c>
      <c r="F322" s="100" t="str">
        <f t="shared" si="75"/>
        <v>THIRD-PARTIES-33</v>
      </c>
      <c r="G322" s="100">
        <f t="shared" ref="G322:G384" si="83">COUNTIF($F:$F,$F322)</f>
        <v>4</v>
      </c>
      <c r="H322" s="133">
        <f t="shared" ca="1" si="77"/>
        <v>0</v>
      </c>
      <c r="I322" s="133">
        <f t="shared" ca="1" si="76"/>
        <v>0</v>
      </c>
      <c r="W322" s="983" t="str">
        <f ca="1">AB322&amp;"-"&amp;COUNTIF($AB$2:$AB322,$AB322)</f>
        <v>1-3-0-40</v>
      </c>
      <c r="X322" s="983" t="s">
        <v>2651</v>
      </c>
      <c r="Y322" s="985">
        <f t="shared" ca="1" si="81"/>
        <v>1</v>
      </c>
      <c r="Z322" s="988">
        <v>3</v>
      </c>
      <c r="AA322" s="985">
        <f t="shared" ref="AA322:AA384" ca="1" si="84">VLOOKUP(X322,C:I,7,FALSE)</f>
        <v>0</v>
      </c>
      <c r="AB322" s="987" t="str">
        <f t="shared" ca="1" si="74"/>
        <v>1-3-0</v>
      </c>
    </row>
    <row r="323" spans="1:28" ht="15" customHeight="1" x14ac:dyDescent="0.2">
      <c r="A323" s="406" t="s">
        <v>64</v>
      </c>
      <c r="B323" s="406" t="s">
        <v>71</v>
      </c>
      <c r="C323" s="406" t="s">
        <v>175</v>
      </c>
      <c r="D323" s="973" t="s">
        <v>5</v>
      </c>
      <c r="E323" s="406">
        <v>1</v>
      </c>
      <c r="F323" s="100" t="str">
        <f t="shared" si="75"/>
        <v>THREAT-11</v>
      </c>
      <c r="G323" s="100">
        <f t="shared" si="83"/>
        <v>4</v>
      </c>
      <c r="H323" s="133">
        <f t="shared" ca="1" si="77"/>
        <v>0</v>
      </c>
      <c r="I323" s="133">
        <f t="shared" ca="1" si="76"/>
        <v>0</v>
      </c>
      <c r="W323" s="983" t="str">
        <f ca="1">AB323&amp;"-"&amp;COUNTIF($AB$2:$AB323,$AB323)</f>
        <v>0-1-0-52</v>
      </c>
      <c r="X323" s="983" t="s">
        <v>175</v>
      </c>
      <c r="Y323" s="985">
        <f t="shared" ca="1" si="81"/>
        <v>0</v>
      </c>
      <c r="Z323" s="988">
        <v>1</v>
      </c>
      <c r="AA323" s="985">
        <f t="shared" ca="1" si="84"/>
        <v>0</v>
      </c>
      <c r="AB323" s="987" t="str">
        <f t="shared" ca="1" si="74"/>
        <v>0-1-0</v>
      </c>
    </row>
    <row r="324" spans="1:28" ht="15" customHeight="1" x14ac:dyDescent="0.2">
      <c r="A324" s="406" t="s">
        <v>64</v>
      </c>
      <c r="B324" s="406" t="s">
        <v>71</v>
      </c>
      <c r="C324" s="406" t="s">
        <v>176</v>
      </c>
      <c r="D324" s="973" t="s">
        <v>7</v>
      </c>
      <c r="E324" s="406">
        <v>1</v>
      </c>
      <c r="F324" s="100" t="str">
        <f t="shared" si="75"/>
        <v>THREAT-11</v>
      </c>
      <c r="G324" s="100">
        <f t="shared" si="83"/>
        <v>4</v>
      </c>
      <c r="H324" s="133">
        <f t="shared" ca="1" si="77"/>
        <v>0</v>
      </c>
      <c r="I324" s="133">
        <f t="shared" ca="1" si="76"/>
        <v>0</v>
      </c>
      <c r="W324" s="983" t="str">
        <f ca="1">AB324&amp;"-"&amp;COUNTIF($AB$2:$AB324,$AB324)</f>
        <v>0-1-0-53</v>
      </c>
      <c r="X324" s="983" t="s">
        <v>176</v>
      </c>
      <c r="Y324" s="985">
        <f t="shared" ca="1" si="81"/>
        <v>0</v>
      </c>
      <c r="Z324" s="988">
        <v>1</v>
      </c>
      <c r="AA324" s="985">
        <f t="shared" ca="1" si="84"/>
        <v>0</v>
      </c>
      <c r="AB324" s="987" t="str">
        <f ca="1">Y324&amp;"-"&amp;Z324&amp;"-"&amp;AA324</f>
        <v>0-1-0</v>
      </c>
    </row>
    <row r="325" spans="1:28" ht="15" customHeight="1" x14ac:dyDescent="0.2">
      <c r="A325" s="406" t="s">
        <v>64</v>
      </c>
      <c r="B325" s="406" t="s">
        <v>71</v>
      </c>
      <c r="C325" s="406" t="s">
        <v>177</v>
      </c>
      <c r="D325" s="973" t="s">
        <v>8</v>
      </c>
      <c r="E325" s="406">
        <v>1</v>
      </c>
      <c r="F325" s="100" t="str">
        <f t="shared" si="75"/>
        <v>THREAT-11</v>
      </c>
      <c r="G325" s="100">
        <f t="shared" si="83"/>
        <v>4</v>
      </c>
      <c r="H325" s="133">
        <f t="shared" ca="1" si="77"/>
        <v>0</v>
      </c>
      <c r="I325" s="133">
        <f t="shared" ca="1" si="76"/>
        <v>0</v>
      </c>
      <c r="W325" s="983" t="str">
        <f ca="1">AB325&amp;"-"&amp;COUNTIF($AB$2:$AB325,$AB325)</f>
        <v>0-1-0-54</v>
      </c>
      <c r="X325" s="983" t="s">
        <v>177</v>
      </c>
      <c r="Y325" s="985">
        <f t="shared" ca="1" si="81"/>
        <v>0</v>
      </c>
      <c r="Z325" s="988">
        <v>1</v>
      </c>
      <c r="AA325" s="985">
        <f t="shared" ca="1" si="84"/>
        <v>0</v>
      </c>
      <c r="AB325" s="987" t="str">
        <f ca="1">Y325&amp;"-"&amp;Z325&amp;"-"&amp;AA325</f>
        <v>0-1-0</v>
      </c>
    </row>
    <row r="326" spans="1:28" ht="15" customHeight="1" x14ac:dyDescent="0.2">
      <c r="A326" s="406" t="s">
        <v>64</v>
      </c>
      <c r="B326" s="406" t="s">
        <v>71</v>
      </c>
      <c r="C326" s="406" t="s">
        <v>178</v>
      </c>
      <c r="D326" s="973" t="s">
        <v>9</v>
      </c>
      <c r="E326" s="406">
        <v>1</v>
      </c>
      <c r="F326" s="100" t="str">
        <f t="shared" si="75"/>
        <v>THREAT-11</v>
      </c>
      <c r="G326" s="100">
        <f t="shared" si="83"/>
        <v>4</v>
      </c>
      <c r="H326" s="133">
        <f t="shared" ca="1" si="77"/>
        <v>0</v>
      </c>
      <c r="I326" s="133">
        <f t="shared" ca="1" si="76"/>
        <v>0</v>
      </c>
      <c r="W326" s="983" t="str">
        <f ca="1">AB326&amp;"-"&amp;COUNTIF($AB$2:$AB326,$AB326)</f>
        <v>0-1-0-55</v>
      </c>
      <c r="X326" s="983" t="s">
        <v>178</v>
      </c>
      <c r="Y326" s="985">
        <f t="shared" ca="1" si="81"/>
        <v>0</v>
      </c>
      <c r="Z326" s="988">
        <v>1</v>
      </c>
      <c r="AA326" s="985">
        <f t="shared" ca="1" si="84"/>
        <v>0</v>
      </c>
      <c r="AB326" s="987" t="str">
        <f ca="1">Y326&amp;"-"&amp;Z326&amp;"-"&amp;AA326</f>
        <v>0-1-0</v>
      </c>
    </row>
    <row r="327" spans="1:28" ht="15" customHeight="1" x14ac:dyDescent="0.2">
      <c r="A327" s="406" t="s">
        <v>64</v>
      </c>
      <c r="B327" s="406" t="s">
        <v>71</v>
      </c>
      <c r="C327" s="406" t="s">
        <v>179</v>
      </c>
      <c r="D327" s="973" t="s">
        <v>10</v>
      </c>
      <c r="E327" s="406">
        <v>2</v>
      </c>
      <c r="F327" s="100" t="str">
        <f t="shared" si="75"/>
        <v>THREAT-12</v>
      </c>
      <c r="G327" s="100">
        <f t="shared" si="83"/>
        <v>5</v>
      </c>
      <c r="H327" s="133">
        <f t="shared" ca="1" si="77"/>
        <v>0</v>
      </c>
      <c r="I327" s="133">
        <f t="shared" ca="1" si="76"/>
        <v>0</v>
      </c>
      <c r="W327" s="983" t="str">
        <f ca="1">AB327&amp;"-"&amp;COUNTIF($AB$2:$AB327,$AB327)</f>
        <v>0-2-0-134</v>
      </c>
      <c r="X327" s="989" t="s">
        <v>179</v>
      </c>
      <c r="Y327" s="985">
        <f t="shared" ca="1" si="81"/>
        <v>0</v>
      </c>
      <c r="Z327" s="988">
        <v>2</v>
      </c>
      <c r="AA327" s="985">
        <f t="shared" ca="1" si="84"/>
        <v>0</v>
      </c>
      <c r="AB327" s="987" t="str">
        <f t="shared" ref="AB327:AB384" ca="1" si="85">Y327&amp;"-"&amp;Z327&amp;"-"&amp;AA327</f>
        <v>0-2-0</v>
      </c>
    </row>
    <row r="328" spans="1:28" ht="15" customHeight="1" x14ac:dyDescent="0.2">
      <c r="A328" s="406" t="s">
        <v>64</v>
      </c>
      <c r="B328" s="406" t="s">
        <v>71</v>
      </c>
      <c r="C328" s="406" t="s">
        <v>180</v>
      </c>
      <c r="D328" s="973" t="s">
        <v>11</v>
      </c>
      <c r="E328" s="406">
        <v>2</v>
      </c>
      <c r="F328" s="100" t="str">
        <f t="shared" si="75"/>
        <v>THREAT-12</v>
      </c>
      <c r="G328" s="100">
        <f t="shared" si="83"/>
        <v>5</v>
      </c>
      <c r="H328" s="133">
        <f t="shared" ca="1" si="77"/>
        <v>0</v>
      </c>
      <c r="I328" s="133">
        <f t="shared" ca="1" si="76"/>
        <v>0</v>
      </c>
      <c r="W328" s="983" t="str">
        <f ca="1">AB328&amp;"-"&amp;COUNTIF($AB$2:$AB328,$AB328)</f>
        <v>0-2-0-135</v>
      </c>
      <c r="X328" s="989" t="s">
        <v>180</v>
      </c>
      <c r="Y328" s="985">
        <f t="shared" ca="1" si="81"/>
        <v>0</v>
      </c>
      <c r="Z328" s="988">
        <v>2</v>
      </c>
      <c r="AA328" s="985">
        <f t="shared" ca="1" si="84"/>
        <v>0</v>
      </c>
      <c r="AB328" s="987" t="str">
        <f t="shared" ca="1" si="85"/>
        <v>0-2-0</v>
      </c>
    </row>
    <row r="329" spans="1:28" ht="15" customHeight="1" x14ac:dyDescent="0.2">
      <c r="A329" s="406" t="s">
        <v>64</v>
      </c>
      <c r="B329" s="406" t="s">
        <v>71</v>
      </c>
      <c r="C329" s="406" t="s">
        <v>181</v>
      </c>
      <c r="D329" s="973" t="s">
        <v>12</v>
      </c>
      <c r="E329" s="406">
        <v>2</v>
      </c>
      <c r="F329" s="100" t="str">
        <f t="shared" si="75"/>
        <v>THREAT-12</v>
      </c>
      <c r="G329" s="100">
        <f t="shared" si="83"/>
        <v>5</v>
      </c>
      <c r="H329" s="133">
        <f t="shared" ca="1" si="77"/>
        <v>0</v>
      </c>
      <c r="I329" s="133">
        <f t="shared" ca="1" si="76"/>
        <v>0</v>
      </c>
      <c r="W329" s="983" t="str">
        <f ca="1">AB329&amp;"-"&amp;COUNTIF($AB$2:$AB329,$AB329)</f>
        <v>0-2-0-136</v>
      </c>
      <c r="X329" s="989" t="s">
        <v>181</v>
      </c>
      <c r="Y329" s="985">
        <f t="shared" ca="1" si="81"/>
        <v>0</v>
      </c>
      <c r="Z329" s="988">
        <v>2</v>
      </c>
      <c r="AA329" s="985">
        <f t="shared" ca="1" si="84"/>
        <v>0</v>
      </c>
      <c r="AB329" s="987" t="str">
        <f t="shared" ca="1" si="85"/>
        <v>0-2-0</v>
      </c>
    </row>
    <row r="330" spans="1:28" ht="15" customHeight="1" x14ac:dyDescent="0.2">
      <c r="A330" s="406" t="s">
        <v>64</v>
      </c>
      <c r="B330" s="406" t="s">
        <v>71</v>
      </c>
      <c r="C330" s="406" t="s">
        <v>182</v>
      </c>
      <c r="D330" s="973" t="s">
        <v>13</v>
      </c>
      <c r="E330" s="406">
        <v>2</v>
      </c>
      <c r="F330" s="100" t="str">
        <f t="shared" si="75"/>
        <v>THREAT-12</v>
      </c>
      <c r="G330" s="100">
        <f t="shared" si="83"/>
        <v>5</v>
      </c>
      <c r="H330" s="133">
        <f t="shared" ca="1" si="77"/>
        <v>0</v>
      </c>
      <c r="I330" s="133">
        <f t="shared" ca="1" si="76"/>
        <v>0</v>
      </c>
      <c r="W330" s="983" t="str">
        <f ca="1">AB330&amp;"-"&amp;COUNTIF($AB$2:$AB330,$AB330)</f>
        <v>0-2-0-137</v>
      </c>
      <c r="X330" s="989" t="s">
        <v>182</v>
      </c>
      <c r="Y330" s="985">
        <f t="shared" ca="1" si="81"/>
        <v>0</v>
      </c>
      <c r="Z330" s="988">
        <v>2</v>
      </c>
      <c r="AA330" s="985">
        <f t="shared" ca="1" si="84"/>
        <v>0</v>
      </c>
      <c r="AB330" s="987" t="str">
        <f t="shared" ca="1" si="85"/>
        <v>0-2-0</v>
      </c>
    </row>
    <row r="331" spans="1:28" ht="15" customHeight="1" x14ac:dyDescent="0.2">
      <c r="A331" s="406" t="s">
        <v>64</v>
      </c>
      <c r="B331" s="406" t="s">
        <v>71</v>
      </c>
      <c r="C331" s="406" t="s">
        <v>183</v>
      </c>
      <c r="D331" s="973" t="s">
        <v>14</v>
      </c>
      <c r="E331" s="406">
        <v>2</v>
      </c>
      <c r="F331" s="100" t="str">
        <f t="shared" si="75"/>
        <v>THREAT-12</v>
      </c>
      <c r="G331" s="100">
        <f t="shared" si="83"/>
        <v>5</v>
      </c>
      <c r="H331" s="133">
        <f t="shared" ca="1" si="77"/>
        <v>0</v>
      </c>
      <c r="I331" s="133">
        <f t="shared" ca="1" si="76"/>
        <v>0</v>
      </c>
      <c r="W331" s="983" t="str">
        <f ca="1">AB331&amp;"-"&amp;COUNTIF($AB$2:$AB331,$AB331)</f>
        <v>0-2-0-138</v>
      </c>
      <c r="X331" s="989" t="s">
        <v>183</v>
      </c>
      <c r="Y331" s="985">
        <f t="shared" ca="1" si="81"/>
        <v>0</v>
      </c>
      <c r="Z331" s="988">
        <v>2</v>
      </c>
      <c r="AA331" s="985">
        <f t="shared" ca="1" si="84"/>
        <v>0</v>
      </c>
      <c r="AB331" s="987" t="str">
        <f t="shared" ca="1" si="85"/>
        <v>0-2-0</v>
      </c>
    </row>
    <row r="332" spans="1:28" ht="15" customHeight="1" x14ac:dyDescent="0.2">
      <c r="A332" s="406" t="s">
        <v>64</v>
      </c>
      <c r="B332" s="406" t="s">
        <v>71</v>
      </c>
      <c r="C332" s="406" t="s">
        <v>184</v>
      </c>
      <c r="D332" s="973" t="s">
        <v>15</v>
      </c>
      <c r="E332" s="406">
        <v>3</v>
      </c>
      <c r="F332" s="100" t="str">
        <f t="shared" si="75"/>
        <v>THREAT-13</v>
      </c>
      <c r="G332" s="100">
        <f t="shared" si="83"/>
        <v>4</v>
      </c>
      <c r="H332" s="133">
        <f t="shared" ca="1" si="77"/>
        <v>0</v>
      </c>
      <c r="I332" s="133">
        <f t="shared" ca="1" si="76"/>
        <v>0</v>
      </c>
      <c r="W332" s="983" t="str">
        <f ca="1">AB332&amp;"-"&amp;COUNTIF($AB$2:$AB332,$AB332)</f>
        <v>0-3-0-76</v>
      </c>
      <c r="X332" s="989" t="s">
        <v>184</v>
      </c>
      <c r="Y332" s="985">
        <f t="shared" ca="1" si="81"/>
        <v>0</v>
      </c>
      <c r="Z332" s="988">
        <v>3</v>
      </c>
      <c r="AA332" s="985">
        <f t="shared" ca="1" si="84"/>
        <v>0</v>
      </c>
      <c r="AB332" s="987" t="str">
        <f t="shared" ca="1" si="85"/>
        <v>0-3-0</v>
      </c>
    </row>
    <row r="333" spans="1:28" ht="15" customHeight="1" x14ac:dyDescent="0.2">
      <c r="A333" s="406" t="s">
        <v>64</v>
      </c>
      <c r="B333" s="406" t="s">
        <v>71</v>
      </c>
      <c r="C333" s="406" t="s">
        <v>185</v>
      </c>
      <c r="D333" s="973" t="s">
        <v>186</v>
      </c>
      <c r="E333" s="406">
        <v>3</v>
      </c>
      <c r="F333" s="100" t="str">
        <f t="shared" ref="F333:F378" si="86">CONCATENATE($B333,$E333)</f>
        <v>THREAT-13</v>
      </c>
      <c r="G333" s="100">
        <f t="shared" si="83"/>
        <v>4</v>
      </c>
      <c r="H333" s="133">
        <f t="shared" ca="1" si="77"/>
        <v>0</v>
      </c>
      <c r="I333" s="133">
        <f t="shared" ref="I333:I384" ca="1" si="87">IFERROR(IF(H333&gt;2,1,0),0)</f>
        <v>0</v>
      </c>
      <c r="W333" s="983" t="str">
        <f ca="1">AB333&amp;"-"&amp;COUNTIF($AB$2:$AB333,$AB333)</f>
        <v>0-3-0-77</v>
      </c>
      <c r="X333" s="989" t="s">
        <v>185</v>
      </c>
      <c r="Y333" s="985">
        <f t="shared" ca="1" si="81"/>
        <v>0</v>
      </c>
      <c r="Z333" s="988">
        <v>3</v>
      </c>
      <c r="AA333" s="985">
        <f t="shared" ca="1" si="84"/>
        <v>0</v>
      </c>
      <c r="AB333" s="987" t="str">
        <f t="shared" ca="1" si="85"/>
        <v>0-3-0</v>
      </c>
    </row>
    <row r="334" spans="1:28" ht="15" customHeight="1" x14ac:dyDescent="0.2">
      <c r="A334" s="406" t="s">
        <v>64</v>
      </c>
      <c r="B334" s="406" t="s">
        <v>71</v>
      </c>
      <c r="C334" s="406" t="s">
        <v>187</v>
      </c>
      <c r="D334" s="973" t="s">
        <v>188</v>
      </c>
      <c r="E334" s="406">
        <v>3</v>
      </c>
      <c r="F334" s="100" t="str">
        <f t="shared" si="86"/>
        <v>THREAT-13</v>
      </c>
      <c r="G334" s="100">
        <f t="shared" si="83"/>
        <v>4</v>
      </c>
      <c r="H334" s="133">
        <f t="shared" ref="H334:H378" ca="1" si="88">INT(LEFT(
VLOOKUP($D334, INDIRECT("'"&amp;$A334&amp;"'!"&amp;"$D:$G"), 4,FALSE), 1)
)</f>
        <v>0</v>
      </c>
      <c r="I334" s="133">
        <f t="shared" ca="1" si="87"/>
        <v>0</v>
      </c>
      <c r="W334" s="983" t="str">
        <f ca="1">AB334&amp;"-"&amp;COUNTIF($AB$2:$AB334,$AB334)</f>
        <v>0-3-0-78</v>
      </c>
      <c r="X334" s="989" t="s">
        <v>187</v>
      </c>
      <c r="Y334" s="985">
        <f t="shared" ca="1" si="81"/>
        <v>0</v>
      </c>
      <c r="Z334" s="988">
        <v>3</v>
      </c>
      <c r="AA334" s="985">
        <f t="shared" ca="1" si="84"/>
        <v>0</v>
      </c>
      <c r="AB334" s="987" t="str">
        <f t="shared" ca="1" si="85"/>
        <v>0-3-0</v>
      </c>
    </row>
    <row r="335" spans="1:28" ht="15" customHeight="1" x14ac:dyDescent="0.2">
      <c r="A335" s="406" t="s">
        <v>64</v>
      </c>
      <c r="B335" s="406" t="s">
        <v>71</v>
      </c>
      <c r="C335" s="406" t="s">
        <v>2652</v>
      </c>
      <c r="D335" s="973" t="s">
        <v>2801</v>
      </c>
      <c r="E335" s="406">
        <v>3</v>
      </c>
      <c r="F335" s="100" t="str">
        <f t="shared" si="86"/>
        <v>THREAT-13</v>
      </c>
      <c r="G335" s="100">
        <f t="shared" si="83"/>
        <v>4</v>
      </c>
      <c r="H335" s="133">
        <f t="shared" ca="1" si="88"/>
        <v>0</v>
      </c>
      <c r="I335" s="133">
        <f t="shared" ref="I335" ca="1" si="89">IFERROR(IF(H335&gt;2,1,0),0)</f>
        <v>0</v>
      </c>
      <c r="W335" s="983" t="str">
        <f ca="1">AB335&amp;"-"&amp;COUNTIF($AB$2:$AB335,$AB335)</f>
        <v>0-3-0-79</v>
      </c>
      <c r="X335" s="989" t="s">
        <v>2652</v>
      </c>
      <c r="Y335" s="985">
        <f t="shared" ca="1" si="81"/>
        <v>0</v>
      </c>
      <c r="Z335" s="988">
        <v>3</v>
      </c>
      <c r="AA335" s="985">
        <f t="shared" ca="1" si="84"/>
        <v>0</v>
      </c>
      <c r="AB335" s="987" t="str">
        <f t="shared" ca="1" si="85"/>
        <v>0-3-0</v>
      </c>
    </row>
    <row r="336" spans="1:28" ht="15" customHeight="1" x14ac:dyDescent="0.2">
      <c r="A336" s="406" t="s">
        <v>64</v>
      </c>
      <c r="B336" s="406" t="s">
        <v>73</v>
      </c>
      <c r="C336" s="406" t="s">
        <v>189</v>
      </c>
      <c r="D336" s="973" t="s">
        <v>17</v>
      </c>
      <c r="E336" s="406">
        <v>1</v>
      </c>
      <c r="F336" s="100" t="str">
        <f t="shared" si="86"/>
        <v>THREAT-21</v>
      </c>
      <c r="G336" s="100">
        <f t="shared" si="83"/>
        <v>4</v>
      </c>
      <c r="H336" s="133">
        <f t="shared" ca="1" si="88"/>
        <v>0</v>
      </c>
      <c r="I336" s="133">
        <f t="shared" ca="1" si="87"/>
        <v>0</v>
      </c>
      <c r="W336" s="983" t="str">
        <f ca="1">AB336&amp;"-"&amp;COUNTIF($AB$2:$AB336,$AB336)</f>
        <v>0-1-0-56</v>
      </c>
      <c r="X336" s="989" t="s">
        <v>189</v>
      </c>
      <c r="Y336" s="985">
        <f t="shared" ca="1" si="81"/>
        <v>0</v>
      </c>
      <c r="Z336" s="988">
        <v>1</v>
      </c>
      <c r="AA336" s="985">
        <f t="shared" ca="1" si="84"/>
        <v>0</v>
      </c>
      <c r="AB336" s="987" t="str">
        <f t="shared" ca="1" si="85"/>
        <v>0-1-0</v>
      </c>
    </row>
    <row r="337" spans="1:28" ht="15" customHeight="1" x14ac:dyDescent="0.2">
      <c r="A337" s="406" t="s">
        <v>64</v>
      </c>
      <c r="B337" s="406" t="s">
        <v>73</v>
      </c>
      <c r="C337" s="406" t="s">
        <v>190</v>
      </c>
      <c r="D337" s="973" t="s">
        <v>18</v>
      </c>
      <c r="E337" s="406">
        <v>1</v>
      </c>
      <c r="F337" s="100" t="str">
        <f t="shared" si="86"/>
        <v>THREAT-21</v>
      </c>
      <c r="G337" s="100">
        <f t="shared" si="83"/>
        <v>4</v>
      </c>
      <c r="H337" s="133">
        <f t="shared" ca="1" si="88"/>
        <v>0</v>
      </c>
      <c r="I337" s="133">
        <f t="shared" ca="1" si="87"/>
        <v>0</v>
      </c>
      <c r="W337" s="983" t="str">
        <f ca="1">AB337&amp;"-"&amp;COUNTIF($AB$2:$AB337,$AB337)</f>
        <v>0-1-0-57</v>
      </c>
      <c r="X337" s="989" t="s">
        <v>190</v>
      </c>
      <c r="Y337" s="985">
        <f t="shared" ca="1" si="81"/>
        <v>0</v>
      </c>
      <c r="Z337" s="988">
        <v>1</v>
      </c>
      <c r="AA337" s="985">
        <f t="shared" ca="1" si="84"/>
        <v>0</v>
      </c>
      <c r="AB337" s="987" t="str">
        <f t="shared" ca="1" si="85"/>
        <v>0-1-0</v>
      </c>
    </row>
    <row r="338" spans="1:28" ht="15" customHeight="1" x14ac:dyDescent="0.2">
      <c r="A338" s="406" t="s">
        <v>64</v>
      </c>
      <c r="B338" s="406" t="s">
        <v>73</v>
      </c>
      <c r="C338" s="406" t="s">
        <v>191</v>
      </c>
      <c r="D338" s="973" t="s">
        <v>19</v>
      </c>
      <c r="E338" s="406">
        <v>1</v>
      </c>
      <c r="F338" s="100" t="str">
        <f t="shared" si="86"/>
        <v>THREAT-21</v>
      </c>
      <c r="G338" s="100">
        <f t="shared" si="83"/>
        <v>4</v>
      </c>
      <c r="H338" s="133">
        <f t="shared" ca="1" si="88"/>
        <v>0</v>
      </c>
      <c r="I338" s="133">
        <f t="shared" ca="1" si="87"/>
        <v>0</v>
      </c>
      <c r="W338" s="983" t="str">
        <f ca="1">AB338&amp;"-"&amp;COUNTIF($AB$2:$AB338,$AB338)</f>
        <v>0-1-0-58</v>
      </c>
      <c r="X338" s="989" t="s">
        <v>191</v>
      </c>
      <c r="Y338" s="985">
        <f t="shared" ca="1" si="81"/>
        <v>0</v>
      </c>
      <c r="Z338" s="988">
        <v>1</v>
      </c>
      <c r="AA338" s="985">
        <f t="shared" ca="1" si="84"/>
        <v>0</v>
      </c>
      <c r="AB338" s="987" t="str">
        <f t="shared" ca="1" si="85"/>
        <v>0-1-0</v>
      </c>
    </row>
    <row r="339" spans="1:28" ht="15" customHeight="1" x14ac:dyDescent="0.2">
      <c r="A339" s="406" t="s">
        <v>64</v>
      </c>
      <c r="B339" s="406" t="s">
        <v>73</v>
      </c>
      <c r="C339" s="406" t="s">
        <v>192</v>
      </c>
      <c r="D339" s="973" t="s">
        <v>20</v>
      </c>
      <c r="E339" s="406">
        <v>1</v>
      </c>
      <c r="F339" s="100" t="str">
        <f t="shared" si="86"/>
        <v>THREAT-21</v>
      </c>
      <c r="G339" s="100">
        <f t="shared" si="83"/>
        <v>4</v>
      </c>
      <c r="H339" s="133">
        <f t="shared" ca="1" si="88"/>
        <v>0</v>
      </c>
      <c r="I339" s="133">
        <f t="shared" ca="1" si="87"/>
        <v>0</v>
      </c>
      <c r="W339" s="983" t="str">
        <f ca="1">AB339&amp;"-"&amp;COUNTIF($AB$2:$AB339,$AB339)</f>
        <v>0-1-0-59</v>
      </c>
      <c r="X339" s="989" t="s">
        <v>192</v>
      </c>
      <c r="Y339" s="985">
        <f t="shared" ca="1" si="81"/>
        <v>0</v>
      </c>
      <c r="Z339" s="988">
        <v>1</v>
      </c>
      <c r="AA339" s="985">
        <f t="shared" ca="1" si="84"/>
        <v>0</v>
      </c>
      <c r="AB339" s="987" t="str">
        <f t="shared" ca="1" si="85"/>
        <v>0-1-0</v>
      </c>
    </row>
    <row r="340" spans="1:28" ht="15" customHeight="1" x14ac:dyDescent="0.2">
      <c r="A340" s="406" t="s">
        <v>64</v>
      </c>
      <c r="B340" s="406" t="s">
        <v>73</v>
      </c>
      <c r="C340" s="406" t="s">
        <v>193</v>
      </c>
      <c r="D340" s="973" t="s">
        <v>21</v>
      </c>
      <c r="E340" s="406">
        <v>2</v>
      </c>
      <c r="F340" s="100" t="str">
        <f t="shared" si="86"/>
        <v>THREAT-22</v>
      </c>
      <c r="G340" s="100">
        <f t="shared" si="83"/>
        <v>4</v>
      </c>
      <c r="H340" s="133">
        <f t="shared" ca="1" si="88"/>
        <v>0</v>
      </c>
      <c r="I340" s="133">
        <f t="shared" ca="1" si="87"/>
        <v>0</v>
      </c>
      <c r="W340" s="983" t="str">
        <f ca="1">AB340&amp;"-"&amp;COUNTIF($AB$2:$AB340,$AB340)</f>
        <v>0-2-0-139</v>
      </c>
      <c r="X340" s="989" t="s">
        <v>193</v>
      </c>
      <c r="Y340" s="985">
        <f t="shared" ca="1" si="81"/>
        <v>0</v>
      </c>
      <c r="Z340" s="988">
        <v>2</v>
      </c>
      <c r="AA340" s="985">
        <f t="shared" ca="1" si="84"/>
        <v>0</v>
      </c>
      <c r="AB340" s="987" t="str">
        <f t="shared" ca="1" si="85"/>
        <v>0-2-0</v>
      </c>
    </row>
    <row r="341" spans="1:28" ht="15" customHeight="1" x14ac:dyDescent="0.2">
      <c r="A341" s="406" t="s">
        <v>64</v>
      </c>
      <c r="B341" s="406" t="s">
        <v>73</v>
      </c>
      <c r="C341" s="406" t="s">
        <v>194</v>
      </c>
      <c r="D341" s="973" t="s">
        <v>103</v>
      </c>
      <c r="E341" s="406">
        <v>2</v>
      </c>
      <c r="F341" s="100" t="str">
        <f t="shared" si="86"/>
        <v>THREAT-22</v>
      </c>
      <c r="G341" s="100">
        <f t="shared" si="83"/>
        <v>4</v>
      </c>
      <c r="H341" s="133">
        <f t="shared" ca="1" si="88"/>
        <v>0</v>
      </c>
      <c r="I341" s="133">
        <f t="shared" ca="1" si="87"/>
        <v>0</v>
      </c>
      <c r="W341" s="983" t="str">
        <f ca="1">AB341&amp;"-"&amp;COUNTIF($AB$2:$AB341,$AB341)</f>
        <v>0-2-0-140</v>
      </c>
      <c r="X341" s="989" t="s">
        <v>194</v>
      </c>
      <c r="Y341" s="985">
        <f t="shared" ca="1" si="81"/>
        <v>0</v>
      </c>
      <c r="Z341" s="988">
        <v>2</v>
      </c>
      <c r="AA341" s="985">
        <f t="shared" ca="1" si="84"/>
        <v>0</v>
      </c>
      <c r="AB341" s="987" t="str">
        <f t="shared" ca="1" si="85"/>
        <v>0-2-0</v>
      </c>
    </row>
    <row r="342" spans="1:28" ht="15" customHeight="1" x14ac:dyDescent="0.2">
      <c r="A342" s="406" t="s">
        <v>64</v>
      </c>
      <c r="B342" s="406" t="s">
        <v>73</v>
      </c>
      <c r="C342" s="406" t="s">
        <v>195</v>
      </c>
      <c r="D342" s="973" t="s">
        <v>165</v>
      </c>
      <c r="E342" s="406">
        <v>2</v>
      </c>
      <c r="F342" s="100" t="str">
        <f t="shared" si="86"/>
        <v>THREAT-22</v>
      </c>
      <c r="G342" s="100">
        <f t="shared" si="83"/>
        <v>4</v>
      </c>
      <c r="H342" s="133">
        <f t="shared" ca="1" si="88"/>
        <v>0</v>
      </c>
      <c r="I342" s="133">
        <f t="shared" ca="1" si="87"/>
        <v>0</v>
      </c>
      <c r="W342" s="983" t="str">
        <f ca="1">AB342&amp;"-"&amp;COUNTIF($AB$2:$AB342,$AB342)</f>
        <v>0-2-0-141</v>
      </c>
      <c r="X342" s="989" t="s">
        <v>195</v>
      </c>
      <c r="Y342" s="985">
        <f t="shared" ca="1" si="81"/>
        <v>0</v>
      </c>
      <c r="Z342" s="988">
        <v>2</v>
      </c>
      <c r="AA342" s="985">
        <f t="shared" ca="1" si="84"/>
        <v>0</v>
      </c>
      <c r="AB342" s="987" t="str">
        <f t="shared" ca="1" si="85"/>
        <v>0-2-0</v>
      </c>
    </row>
    <row r="343" spans="1:28" ht="15" customHeight="1" x14ac:dyDescent="0.2">
      <c r="A343" s="406" t="s">
        <v>64</v>
      </c>
      <c r="B343" s="406" t="s">
        <v>73</v>
      </c>
      <c r="C343" s="406" t="s">
        <v>196</v>
      </c>
      <c r="D343" s="973" t="s">
        <v>167</v>
      </c>
      <c r="E343" s="406">
        <v>2</v>
      </c>
      <c r="F343" s="100" t="str">
        <f t="shared" si="86"/>
        <v>THREAT-22</v>
      </c>
      <c r="G343" s="100">
        <f t="shared" si="83"/>
        <v>4</v>
      </c>
      <c r="H343" s="133">
        <f t="shared" ca="1" si="88"/>
        <v>0</v>
      </c>
      <c r="I343" s="133">
        <f t="shared" ca="1" si="87"/>
        <v>0</v>
      </c>
      <c r="W343" s="983" t="str">
        <f ca="1">AB343&amp;"-"&amp;COUNTIF($AB$2:$AB343,$AB343)</f>
        <v>0-2-0-142</v>
      </c>
      <c r="X343" s="989" t="s">
        <v>196</v>
      </c>
      <c r="Y343" s="985">
        <f t="shared" ca="1" si="81"/>
        <v>0</v>
      </c>
      <c r="Z343" s="988">
        <v>2</v>
      </c>
      <c r="AA343" s="985">
        <f t="shared" ca="1" si="84"/>
        <v>0</v>
      </c>
      <c r="AB343" s="987" t="str">
        <f t="shared" ca="1" si="85"/>
        <v>0-2-0</v>
      </c>
    </row>
    <row r="344" spans="1:28" ht="15" customHeight="1" x14ac:dyDescent="0.2">
      <c r="A344" s="406" t="s">
        <v>64</v>
      </c>
      <c r="B344" s="406" t="s">
        <v>73</v>
      </c>
      <c r="C344" s="406" t="s">
        <v>197</v>
      </c>
      <c r="D344" s="973" t="s">
        <v>198</v>
      </c>
      <c r="E344" s="406">
        <v>3</v>
      </c>
      <c r="F344" s="100" t="str">
        <f t="shared" si="86"/>
        <v>THREAT-23</v>
      </c>
      <c r="G344" s="100">
        <f t="shared" si="83"/>
        <v>3</v>
      </c>
      <c r="H344" s="133">
        <f t="shared" ca="1" si="88"/>
        <v>0</v>
      </c>
      <c r="I344" s="133">
        <f t="shared" ca="1" si="87"/>
        <v>0</v>
      </c>
      <c r="W344" s="983" t="str">
        <f ca="1">AB344&amp;"-"&amp;COUNTIF($AB$2:$AB344,$AB344)</f>
        <v>0-3-0-80</v>
      </c>
      <c r="X344" s="989" t="s">
        <v>197</v>
      </c>
      <c r="Y344" s="985">
        <f t="shared" ca="1" si="81"/>
        <v>0</v>
      </c>
      <c r="Z344" s="988">
        <v>3</v>
      </c>
      <c r="AA344" s="985">
        <f t="shared" ca="1" si="84"/>
        <v>0</v>
      </c>
      <c r="AB344" s="987" t="str">
        <f t="shared" ca="1" si="85"/>
        <v>0-3-0</v>
      </c>
    </row>
    <row r="345" spans="1:28" ht="15" customHeight="1" x14ac:dyDescent="0.2">
      <c r="A345" s="406" t="s">
        <v>64</v>
      </c>
      <c r="B345" s="406" t="s">
        <v>73</v>
      </c>
      <c r="C345" s="406" t="s">
        <v>199</v>
      </c>
      <c r="D345" s="973" t="s">
        <v>200</v>
      </c>
      <c r="E345" s="406">
        <v>3</v>
      </c>
      <c r="F345" s="100" t="str">
        <f t="shared" si="86"/>
        <v>THREAT-23</v>
      </c>
      <c r="G345" s="100">
        <f t="shared" si="83"/>
        <v>3</v>
      </c>
      <c r="H345" s="133">
        <f t="shared" ca="1" si="88"/>
        <v>0</v>
      </c>
      <c r="I345" s="133">
        <f t="shared" ca="1" si="87"/>
        <v>0</v>
      </c>
      <c r="W345" s="983" t="str">
        <f ca="1">AB345&amp;"-"&amp;COUNTIF($AB$2:$AB345,$AB345)</f>
        <v>0-3-0-81</v>
      </c>
      <c r="X345" s="989" t="s">
        <v>199</v>
      </c>
      <c r="Y345" s="985">
        <f t="shared" ca="1" si="81"/>
        <v>0</v>
      </c>
      <c r="Z345" s="988">
        <v>3</v>
      </c>
      <c r="AA345" s="985">
        <f t="shared" ca="1" si="84"/>
        <v>0</v>
      </c>
      <c r="AB345" s="987" t="str">
        <f t="shared" ca="1" si="85"/>
        <v>0-3-0</v>
      </c>
    </row>
    <row r="346" spans="1:28" ht="15" customHeight="1" x14ac:dyDescent="0.2">
      <c r="A346" s="406" t="s">
        <v>64</v>
      </c>
      <c r="B346" s="406" t="s">
        <v>73</v>
      </c>
      <c r="C346" s="406" t="s">
        <v>201</v>
      </c>
      <c r="D346" s="973" t="s">
        <v>202</v>
      </c>
      <c r="E346" s="406">
        <v>3</v>
      </c>
      <c r="F346" s="100" t="str">
        <f t="shared" si="86"/>
        <v>THREAT-23</v>
      </c>
      <c r="G346" s="100">
        <f t="shared" si="83"/>
        <v>3</v>
      </c>
      <c r="H346" s="133">
        <f t="shared" ca="1" si="88"/>
        <v>0</v>
      </c>
      <c r="I346" s="133">
        <f t="shared" ca="1" si="87"/>
        <v>0</v>
      </c>
      <c r="W346" s="983" t="str">
        <f ca="1">AB346&amp;"-"&amp;COUNTIF($AB$2:$AB346,$AB346)</f>
        <v>0-3-0-82</v>
      </c>
      <c r="X346" s="989" t="s">
        <v>201</v>
      </c>
      <c r="Y346" s="985">
        <f t="shared" ca="1" si="81"/>
        <v>0</v>
      </c>
      <c r="Z346" s="988">
        <v>3</v>
      </c>
      <c r="AA346" s="985">
        <f t="shared" ca="1" si="84"/>
        <v>0</v>
      </c>
      <c r="AB346" s="987" t="str">
        <f t="shared" ca="1" si="85"/>
        <v>0-3-0</v>
      </c>
    </row>
    <row r="347" spans="1:28" ht="15" customHeight="1" x14ac:dyDescent="0.2">
      <c r="A347" s="406" t="s">
        <v>64</v>
      </c>
      <c r="B347" s="406" t="s">
        <v>76</v>
      </c>
      <c r="C347" s="406" t="s">
        <v>205</v>
      </c>
      <c r="D347" s="973" t="s">
        <v>22</v>
      </c>
      <c r="E347" s="406">
        <v>2</v>
      </c>
      <c r="F347" s="100" t="str">
        <f t="shared" si="86"/>
        <v>THREAT-32</v>
      </c>
      <c r="G347" s="100">
        <f t="shared" si="83"/>
        <v>2</v>
      </c>
      <c r="H347" s="133">
        <f t="shared" ca="1" si="88"/>
        <v>0</v>
      </c>
      <c r="I347" s="133">
        <f t="shared" ca="1" si="87"/>
        <v>0</v>
      </c>
      <c r="W347" s="983" t="str">
        <f ca="1">AB347&amp;"-"&amp;COUNTIF($AB$2:$AB347,$AB347)</f>
        <v>1-2-0-23</v>
      </c>
      <c r="X347" s="989" t="s">
        <v>205</v>
      </c>
      <c r="Y347" s="985">
        <f t="shared" ca="1" si="81"/>
        <v>1</v>
      </c>
      <c r="Z347" s="988">
        <v>2</v>
      </c>
      <c r="AA347" s="985">
        <f t="shared" ca="1" si="84"/>
        <v>0</v>
      </c>
      <c r="AB347" s="987" t="str">
        <f t="shared" ca="1" si="85"/>
        <v>1-2-0</v>
      </c>
    </row>
    <row r="348" spans="1:28" ht="15" customHeight="1" x14ac:dyDescent="0.2">
      <c r="A348" s="406" t="s">
        <v>64</v>
      </c>
      <c r="B348" s="406" t="s">
        <v>76</v>
      </c>
      <c r="C348" s="406" t="s">
        <v>206</v>
      </c>
      <c r="D348" s="973" t="s">
        <v>23</v>
      </c>
      <c r="E348" s="406">
        <v>2</v>
      </c>
      <c r="F348" s="100" t="str">
        <f t="shared" si="86"/>
        <v>THREAT-32</v>
      </c>
      <c r="G348" s="100">
        <f t="shared" si="83"/>
        <v>2</v>
      </c>
      <c r="H348" s="133">
        <f t="shared" ca="1" si="88"/>
        <v>0</v>
      </c>
      <c r="I348" s="133">
        <f t="shared" ca="1" si="87"/>
        <v>0</v>
      </c>
      <c r="W348" s="983" t="str">
        <f ca="1">AB348&amp;"-"&amp;COUNTIF($AB$2:$AB348,$AB348)</f>
        <v>1-2-0-24</v>
      </c>
      <c r="X348" s="989" t="s">
        <v>206</v>
      </c>
      <c r="Y348" s="985">
        <f t="shared" ca="1" si="81"/>
        <v>1</v>
      </c>
      <c r="Z348" s="988">
        <v>2</v>
      </c>
      <c r="AA348" s="985">
        <f t="shared" ca="1" si="84"/>
        <v>0</v>
      </c>
      <c r="AB348" s="987" t="str">
        <f t="shared" ca="1" si="85"/>
        <v>1-2-0</v>
      </c>
    </row>
    <row r="349" spans="1:28" ht="15" customHeight="1" x14ac:dyDescent="0.2">
      <c r="A349" s="406" t="s">
        <v>64</v>
      </c>
      <c r="B349" s="406" t="s">
        <v>76</v>
      </c>
      <c r="C349" s="406" t="s">
        <v>207</v>
      </c>
      <c r="D349" s="973" t="s">
        <v>24</v>
      </c>
      <c r="E349" s="406">
        <v>3</v>
      </c>
      <c r="F349" s="100" t="str">
        <f t="shared" si="86"/>
        <v>THREAT-33</v>
      </c>
      <c r="G349" s="100">
        <f t="shared" si="83"/>
        <v>4</v>
      </c>
      <c r="H349" s="133">
        <f t="shared" ca="1" si="88"/>
        <v>0</v>
      </c>
      <c r="I349" s="133">
        <f t="shared" ca="1" si="87"/>
        <v>0</v>
      </c>
      <c r="W349" s="983" t="str">
        <f ca="1">AB349&amp;"-"&amp;COUNTIF($AB$2:$AB349,$AB349)</f>
        <v>1-3-0-41</v>
      </c>
      <c r="X349" s="989" t="s">
        <v>207</v>
      </c>
      <c r="Y349" s="985">
        <f t="shared" ca="1" si="81"/>
        <v>1</v>
      </c>
      <c r="Z349" s="988">
        <v>3</v>
      </c>
      <c r="AA349" s="985">
        <f t="shared" ca="1" si="84"/>
        <v>0</v>
      </c>
      <c r="AB349" s="987" t="str">
        <f t="shared" ca="1" si="85"/>
        <v>1-3-0</v>
      </c>
    </row>
    <row r="350" spans="1:28" ht="15" customHeight="1" x14ac:dyDescent="0.2">
      <c r="A350" s="406" t="s">
        <v>64</v>
      </c>
      <c r="B350" s="406" t="s">
        <v>76</v>
      </c>
      <c r="C350" s="406" t="s">
        <v>208</v>
      </c>
      <c r="D350" s="973" t="s">
        <v>25</v>
      </c>
      <c r="E350" s="406">
        <v>3</v>
      </c>
      <c r="F350" s="100" t="str">
        <f t="shared" si="86"/>
        <v>THREAT-33</v>
      </c>
      <c r="G350" s="100">
        <f t="shared" si="83"/>
        <v>4</v>
      </c>
      <c r="H350" s="133">
        <f t="shared" ca="1" si="88"/>
        <v>0</v>
      </c>
      <c r="I350" s="133">
        <f t="shared" ca="1" si="87"/>
        <v>0</v>
      </c>
      <c r="W350" s="983" t="str">
        <f ca="1">AB350&amp;"-"&amp;COUNTIF($AB$2:$AB350,$AB350)</f>
        <v>1-3-0-42</v>
      </c>
      <c r="X350" s="989" t="s">
        <v>208</v>
      </c>
      <c r="Y350" s="985">
        <f t="shared" ca="1" si="81"/>
        <v>1</v>
      </c>
      <c r="Z350" s="988">
        <v>3</v>
      </c>
      <c r="AA350" s="985">
        <f t="shared" ca="1" si="84"/>
        <v>0</v>
      </c>
      <c r="AB350" s="987" t="str">
        <f t="shared" ca="1" si="85"/>
        <v>1-3-0</v>
      </c>
    </row>
    <row r="351" spans="1:28" ht="15" customHeight="1" x14ac:dyDescent="0.2">
      <c r="A351" s="406" t="s">
        <v>64</v>
      </c>
      <c r="B351" s="406" t="s">
        <v>76</v>
      </c>
      <c r="C351" s="406" t="s">
        <v>209</v>
      </c>
      <c r="D351" s="973" t="s">
        <v>26</v>
      </c>
      <c r="E351" s="406">
        <v>3</v>
      </c>
      <c r="F351" s="100" t="str">
        <f t="shared" si="86"/>
        <v>THREAT-33</v>
      </c>
      <c r="G351" s="100">
        <f t="shared" si="83"/>
        <v>4</v>
      </c>
      <c r="H351" s="133">
        <f t="shared" ca="1" si="88"/>
        <v>0</v>
      </c>
      <c r="I351" s="133">
        <f t="shared" ca="1" si="87"/>
        <v>0</v>
      </c>
      <c r="W351" s="983" t="str">
        <f ca="1">AB351&amp;"-"&amp;COUNTIF($AB$2:$AB351,$AB351)</f>
        <v>1-3-0-43</v>
      </c>
      <c r="X351" s="989" t="s">
        <v>209</v>
      </c>
      <c r="Y351" s="985">
        <f t="shared" ca="1" si="81"/>
        <v>1</v>
      </c>
      <c r="Z351" s="988">
        <v>3</v>
      </c>
      <c r="AA351" s="985">
        <f t="shared" ca="1" si="84"/>
        <v>0</v>
      </c>
      <c r="AB351" s="987" t="str">
        <f t="shared" ca="1" si="85"/>
        <v>1-3-0</v>
      </c>
    </row>
    <row r="352" spans="1:28" ht="15" customHeight="1" x14ac:dyDescent="0.2">
      <c r="A352" s="406" t="s">
        <v>64</v>
      </c>
      <c r="B352" s="406" t="s">
        <v>76</v>
      </c>
      <c r="C352" s="406" t="s">
        <v>210</v>
      </c>
      <c r="D352" s="973" t="s">
        <v>27</v>
      </c>
      <c r="E352" s="406">
        <v>3</v>
      </c>
      <c r="F352" s="100" t="str">
        <f t="shared" si="86"/>
        <v>THREAT-33</v>
      </c>
      <c r="G352" s="100">
        <f t="shared" si="83"/>
        <v>4</v>
      </c>
      <c r="H352" s="133">
        <f t="shared" ca="1" si="88"/>
        <v>0</v>
      </c>
      <c r="I352" s="133">
        <f t="shared" ca="1" si="87"/>
        <v>0</v>
      </c>
      <c r="W352" s="983" t="str">
        <f ca="1">AB352&amp;"-"&amp;COUNTIF($AB$2:$AB352,$AB352)</f>
        <v>1-3-0-44</v>
      </c>
      <c r="X352" s="989" t="s">
        <v>210</v>
      </c>
      <c r="Y352" s="985">
        <f t="shared" ca="1" si="81"/>
        <v>1</v>
      </c>
      <c r="Z352" s="988">
        <v>3</v>
      </c>
      <c r="AA352" s="985">
        <f t="shared" ca="1" si="84"/>
        <v>0</v>
      </c>
      <c r="AB352" s="987" t="str">
        <f t="shared" ca="1" si="85"/>
        <v>1-3-0</v>
      </c>
    </row>
    <row r="353" spans="1:28" ht="15" customHeight="1" x14ac:dyDescent="0.2">
      <c r="A353" s="130" t="s">
        <v>74</v>
      </c>
      <c r="B353" s="130" t="s">
        <v>104</v>
      </c>
      <c r="C353" s="130" t="s">
        <v>274</v>
      </c>
      <c r="D353" s="974" t="s">
        <v>5</v>
      </c>
      <c r="E353" s="130">
        <v>1</v>
      </c>
      <c r="F353" s="100" t="str">
        <f t="shared" si="86"/>
        <v>WORKFORCE-11</v>
      </c>
      <c r="G353" s="100">
        <f t="shared" si="83"/>
        <v>2</v>
      </c>
      <c r="H353" s="133">
        <f t="shared" ca="1" si="88"/>
        <v>0</v>
      </c>
      <c r="I353" s="133">
        <f t="shared" ca="1" si="87"/>
        <v>0</v>
      </c>
      <c r="W353" s="983" t="str">
        <f ca="1">AB353&amp;"-"&amp;COUNTIF($AB$2:$AB353,$AB353)</f>
        <v>0-1-0-60</v>
      </c>
      <c r="X353" s="989" t="s">
        <v>274</v>
      </c>
      <c r="Y353" s="985">
        <f t="shared" ca="1" si="81"/>
        <v>0</v>
      </c>
      <c r="Z353" s="988">
        <v>1</v>
      </c>
      <c r="AA353" s="985">
        <f t="shared" ca="1" si="84"/>
        <v>0</v>
      </c>
      <c r="AB353" s="987" t="str">
        <f t="shared" ca="1" si="85"/>
        <v>0-1-0</v>
      </c>
    </row>
    <row r="354" spans="1:28" ht="15" customHeight="1" x14ac:dyDescent="0.2">
      <c r="A354" s="130" t="s">
        <v>74</v>
      </c>
      <c r="B354" s="130" t="s">
        <v>104</v>
      </c>
      <c r="C354" s="130" t="s">
        <v>275</v>
      </c>
      <c r="D354" s="974" t="s">
        <v>7</v>
      </c>
      <c r="E354" s="130">
        <v>1</v>
      </c>
      <c r="F354" s="100" t="str">
        <f t="shared" si="86"/>
        <v>WORKFORCE-11</v>
      </c>
      <c r="G354" s="100">
        <f t="shared" si="83"/>
        <v>2</v>
      </c>
      <c r="H354" s="133">
        <f t="shared" ca="1" si="88"/>
        <v>0</v>
      </c>
      <c r="I354" s="133">
        <f t="shared" ca="1" si="87"/>
        <v>0</v>
      </c>
      <c r="W354" s="983" t="str">
        <f ca="1">AB354&amp;"-"&amp;COUNTIF($AB$2:$AB354,$AB354)</f>
        <v>0-1-0-61</v>
      </c>
      <c r="X354" s="989" t="s">
        <v>275</v>
      </c>
      <c r="Y354" s="985">
        <f t="shared" ca="1" si="81"/>
        <v>0</v>
      </c>
      <c r="Z354" s="988">
        <v>1</v>
      </c>
      <c r="AA354" s="985">
        <f t="shared" ca="1" si="84"/>
        <v>0</v>
      </c>
      <c r="AB354" s="987" t="str">
        <f t="shared" ca="1" si="85"/>
        <v>0-1-0</v>
      </c>
    </row>
    <row r="355" spans="1:28" ht="15" customHeight="1" x14ac:dyDescent="0.2">
      <c r="A355" s="130" t="s">
        <v>74</v>
      </c>
      <c r="B355" s="130" t="s">
        <v>104</v>
      </c>
      <c r="C355" s="130" t="s">
        <v>276</v>
      </c>
      <c r="D355" s="974" t="s">
        <v>8</v>
      </c>
      <c r="E355" s="130">
        <v>2</v>
      </c>
      <c r="F355" s="100" t="str">
        <f t="shared" si="86"/>
        <v>WORKFORCE-12</v>
      </c>
      <c r="G355" s="100">
        <f t="shared" si="83"/>
        <v>3</v>
      </c>
      <c r="H355" s="133">
        <f t="shared" ca="1" si="88"/>
        <v>0</v>
      </c>
      <c r="I355" s="133">
        <f t="shared" ca="1" si="87"/>
        <v>0</v>
      </c>
      <c r="W355" s="983" t="str">
        <f ca="1">AB355&amp;"-"&amp;COUNTIF($AB$2:$AB355,$AB355)</f>
        <v>0-2-0-143</v>
      </c>
      <c r="X355" s="989" t="s">
        <v>276</v>
      </c>
      <c r="Y355" s="985">
        <f t="shared" ca="1" si="81"/>
        <v>0</v>
      </c>
      <c r="Z355" s="988">
        <v>2</v>
      </c>
      <c r="AA355" s="985">
        <f t="shared" ca="1" si="84"/>
        <v>0</v>
      </c>
      <c r="AB355" s="987" t="str">
        <f t="shared" ca="1" si="85"/>
        <v>0-2-0</v>
      </c>
    </row>
    <row r="356" spans="1:28" ht="15" customHeight="1" x14ac:dyDescent="0.2">
      <c r="A356" s="130" t="s">
        <v>74</v>
      </c>
      <c r="B356" s="130" t="s">
        <v>104</v>
      </c>
      <c r="C356" s="130" t="s">
        <v>277</v>
      </c>
      <c r="D356" s="974" t="s">
        <v>9</v>
      </c>
      <c r="E356" s="130">
        <v>2</v>
      </c>
      <c r="F356" s="100" t="str">
        <f t="shared" si="86"/>
        <v>WORKFORCE-12</v>
      </c>
      <c r="G356" s="100">
        <f t="shared" si="83"/>
        <v>3</v>
      </c>
      <c r="H356" s="133">
        <f t="shared" ca="1" si="88"/>
        <v>0</v>
      </c>
      <c r="I356" s="133">
        <f t="shared" ca="1" si="87"/>
        <v>0</v>
      </c>
      <c r="W356" s="983" t="str">
        <f ca="1">AB356&amp;"-"&amp;COUNTIF($AB$2:$AB356,$AB356)</f>
        <v>0-2-0-144</v>
      </c>
      <c r="X356" s="989" t="s">
        <v>277</v>
      </c>
      <c r="Y356" s="985">
        <f t="shared" ca="1" si="81"/>
        <v>0</v>
      </c>
      <c r="Z356" s="988">
        <v>2</v>
      </c>
      <c r="AA356" s="985">
        <f t="shared" ca="1" si="84"/>
        <v>0</v>
      </c>
      <c r="AB356" s="987" t="str">
        <f t="shared" ca="1" si="85"/>
        <v>0-2-0</v>
      </c>
    </row>
    <row r="357" spans="1:28" ht="15" customHeight="1" x14ac:dyDescent="0.2">
      <c r="A357" s="130" t="s">
        <v>74</v>
      </c>
      <c r="B357" s="130" t="s">
        <v>104</v>
      </c>
      <c r="C357" s="130" t="s">
        <v>278</v>
      </c>
      <c r="D357" s="974" t="s">
        <v>10</v>
      </c>
      <c r="E357" s="130">
        <v>2</v>
      </c>
      <c r="F357" s="100" t="str">
        <f t="shared" si="86"/>
        <v>WORKFORCE-12</v>
      </c>
      <c r="G357" s="100">
        <f t="shared" si="83"/>
        <v>3</v>
      </c>
      <c r="H357" s="133">
        <f t="shared" ca="1" si="88"/>
        <v>0</v>
      </c>
      <c r="I357" s="133">
        <f t="shared" ca="1" si="87"/>
        <v>0</v>
      </c>
      <c r="W357" s="983" t="str">
        <f ca="1">AB357&amp;"-"&amp;COUNTIF($AB$2:$AB357,$AB357)</f>
        <v>0-2-0-145</v>
      </c>
      <c r="X357" s="989" t="s">
        <v>278</v>
      </c>
      <c r="Y357" s="985">
        <f t="shared" ca="1" si="81"/>
        <v>0</v>
      </c>
      <c r="Z357" s="988">
        <v>2</v>
      </c>
      <c r="AA357" s="985">
        <f t="shared" ca="1" si="84"/>
        <v>0</v>
      </c>
      <c r="AB357" s="987" t="str">
        <f t="shared" ca="1" si="85"/>
        <v>0-2-0</v>
      </c>
    </row>
    <row r="358" spans="1:28" ht="15" customHeight="1" x14ac:dyDescent="0.2">
      <c r="A358" s="130" t="s">
        <v>74</v>
      </c>
      <c r="B358" s="130" t="s">
        <v>104</v>
      </c>
      <c r="C358" s="130" t="s">
        <v>279</v>
      </c>
      <c r="D358" s="974" t="s">
        <v>11</v>
      </c>
      <c r="E358" s="130">
        <v>3</v>
      </c>
      <c r="F358" s="100" t="str">
        <f t="shared" si="86"/>
        <v>WORKFORCE-13</v>
      </c>
      <c r="G358" s="100">
        <f t="shared" si="83"/>
        <v>2</v>
      </c>
      <c r="H358" s="133">
        <f t="shared" ca="1" si="88"/>
        <v>0</v>
      </c>
      <c r="I358" s="133">
        <f t="shared" ca="1" si="87"/>
        <v>0</v>
      </c>
      <c r="W358" s="983" t="str">
        <f ca="1">AB358&amp;"-"&amp;COUNTIF($AB$2:$AB358,$AB358)</f>
        <v>0-3-0-83</v>
      </c>
      <c r="X358" s="989" t="s">
        <v>279</v>
      </c>
      <c r="Y358" s="985">
        <f t="shared" ca="1" si="81"/>
        <v>0</v>
      </c>
      <c r="Z358" s="988">
        <v>3</v>
      </c>
      <c r="AA358" s="985">
        <f t="shared" ca="1" si="84"/>
        <v>0</v>
      </c>
      <c r="AB358" s="987" t="str">
        <f t="shared" ca="1" si="85"/>
        <v>0-3-0</v>
      </c>
    </row>
    <row r="359" spans="1:28" ht="15" customHeight="1" x14ac:dyDescent="0.2">
      <c r="A359" s="130" t="s">
        <v>74</v>
      </c>
      <c r="B359" s="130" t="s">
        <v>104</v>
      </c>
      <c r="C359" s="130" t="s">
        <v>2653</v>
      </c>
      <c r="D359" s="974" t="s">
        <v>12</v>
      </c>
      <c r="E359" s="130">
        <v>3</v>
      </c>
      <c r="F359" s="100" t="str">
        <f t="shared" si="86"/>
        <v>WORKFORCE-13</v>
      </c>
      <c r="G359" s="100">
        <f t="shared" si="83"/>
        <v>2</v>
      </c>
      <c r="H359" s="133">
        <f t="shared" ca="1" si="88"/>
        <v>0</v>
      </c>
      <c r="I359" s="133">
        <f t="shared" ref="I359" ca="1" si="90">IFERROR(IF(H359&gt;2,1,0),0)</f>
        <v>0</v>
      </c>
      <c r="W359" s="983" t="str">
        <f ca="1">AB359&amp;"-"&amp;COUNTIF($AB$2:$AB359,$AB359)</f>
        <v>0-3-0-84</v>
      </c>
      <c r="X359" s="989" t="s">
        <v>2653</v>
      </c>
      <c r="Y359" s="985">
        <f t="shared" ca="1" si="81"/>
        <v>0</v>
      </c>
      <c r="Z359" s="988">
        <v>3</v>
      </c>
      <c r="AA359" s="985">
        <f t="shared" ca="1" si="84"/>
        <v>0</v>
      </c>
      <c r="AB359" s="987" t="str">
        <f t="shared" ca="1" si="85"/>
        <v>0-3-0</v>
      </c>
    </row>
    <row r="360" spans="1:28" ht="15" customHeight="1" x14ac:dyDescent="0.2">
      <c r="A360" s="130" t="s">
        <v>74</v>
      </c>
      <c r="B360" s="130" t="s">
        <v>106</v>
      </c>
      <c r="C360" s="130" t="s">
        <v>280</v>
      </c>
      <c r="D360" s="974" t="s">
        <v>17</v>
      </c>
      <c r="E360" s="130">
        <v>1</v>
      </c>
      <c r="F360" s="100" t="str">
        <f t="shared" si="86"/>
        <v>WORKFORCE-21</v>
      </c>
      <c r="G360" s="100">
        <f t="shared" si="83"/>
        <v>1</v>
      </c>
      <c r="H360" s="133">
        <f t="shared" ca="1" si="88"/>
        <v>0</v>
      </c>
      <c r="I360" s="133">
        <f t="shared" ca="1" si="87"/>
        <v>0</v>
      </c>
      <c r="W360" s="983" t="str">
        <f ca="1">AB360&amp;"-"&amp;COUNTIF($AB$2:$AB360,$AB360)</f>
        <v>0-1-0-62</v>
      </c>
      <c r="X360" s="989" t="s">
        <v>280</v>
      </c>
      <c r="Y360" s="985">
        <f t="shared" ca="1" si="81"/>
        <v>0</v>
      </c>
      <c r="Z360" s="988">
        <v>1</v>
      </c>
      <c r="AA360" s="985">
        <f t="shared" ca="1" si="84"/>
        <v>0</v>
      </c>
      <c r="AB360" s="987" t="str">
        <f t="shared" ca="1" si="85"/>
        <v>0-1-0</v>
      </c>
    </row>
    <row r="361" spans="1:28" ht="15" customHeight="1" x14ac:dyDescent="0.2">
      <c r="A361" s="130" t="s">
        <v>74</v>
      </c>
      <c r="B361" s="130" t="s">
        <v>106</v>
      </c>
      <c r="C361" s="130" t="s">
        <v>281</v>
      </c>
      <c r="D361" s="974" t="s">
        <v>18</v>
      </c>
      <c r="E361" s="130">
        <v>2</v>
      </c>
      <c r="F361" s="100" t="str">
        <f t="shared" si="86"/>
        <v>WORKFORCE-22</v>
      </c>
      <c r="G361" s="100">
        <f t="shared" si="83"/>
        <v>3</v>
      </c>
      <c r="H361" s="133">
        <f t="shared" ca="1" si="88"/>
        <v>0</v>
      </c>
      <c r="I361" s="133">
        <f t="shared" ca="1" si="87"/>
        <v>0</v>
      </c>
      <c r="W361" s="983" t="str">
        <f ca="1">AB361&amp;"-"&amp;COUNTIF($AB$2:$AB361,$AB361)</f>
        <v>0-2-0-146</v>
      </c>
      <c r="X361" s="989" t="s">
        <v>281</v>
      </c>
      <c r="Y361" s="985">
        <f t="shared" ca="1" si="81"/>
        <v>0</v>
      </c>
      <c r="Z361" s="988">
        <v>2</v>
      </c>
      <c r="AA361" s="985">
        <f t="shared" ca="1" si="84"/>
        <v>0</v>
      </c>
      <c r="AB361" s="987" t="str">
        <f t="shared" ca="1" si="85"/>
        <v>0-2-0</v>
      </c>
    </row>
    <row r="362" spans="1:28" ht="15" customHeight="1" x14ac:dyDescent="0.2">
      <c r="A362" s="130" t="s">
        <v>74</v>
      </c>
      <c r="B362" s="130" t="s">
        <v>106</v>
      </c>
      <c r="C362" s="130" t="s">
        <v>282</v>
      </c>
      <c r="D362" s="974" t="s">
        <v>19</v>
      </c>
      <c r="E362" s="130">
        <v>2</v>
      </c>
      <c r="F362" s="100" t="str">
        <f t="shared" si="86"/>
        <v>WORKFORCE-22</v>
      </c>
      <c r="G362" s="100">
        <f t="shared" si="83"/>
        <v>3</v>
      </c>
      <c r="H362" s="133">
        <f t="shared" ca="1" si="88"/>
        <v>0</v>
      </c>
      <c r="I362" s="133">
        <f t="shared" ca="1" si="87"/>
        <v>0</v>
      </c>
      <c r="W362" s="983" t="str">
        <f ca="1">AB362&amp;"-"&amp;COUNTIF($AB$2:$AB362,$AB362)</f>
        <v>0-2-0-147</v>
      </c>
      <c r="X362" s="989" t="s">
        <v>282</v>
      </c>
      <c r="Y362" s="985">
        <f t="shared" ca="1" si="81"/>
        <v>0</v>
      </c>
      <c r="Z362" s="988">
        <v>2</v>
      </c>
      <c r="AA362" s="985">
        <f t="shared" ca="1" si="84"/>
        <v>0</v>
      </c>
      <c r="AB362" s="987" t="str">
        <f t="shared" ca="1" si="85"/>
        <v>0-2-0</v>
      </c>
    </row>
    <row r="363" spans="1:28" ht="15" customHeight="1" x14ac:dyDescent="0.2">
      <c r="A363" s="130" t="s">
        <v>74</v>
      </c>
      <c r="B363" s="130" t="s">
        <v>106</v>
      </c>
      <c r="C363" s="130" t="s">
        <v>283</v>
      </c>
      <c r="D363" s="974" t="s">
        <v>20</v>
      </c>
      <c r="E363" s="130">
        <v>2</v>
      </c>
      <c r="F363" s="100" t="str">
        <f t="shared" si="86"/>
        <v>WORKFORCE-22</v>
      </c>
      <c r="G363" s="100">
        <f t="shared" si="83"/>
        <v>3</v>
      </c>
      <c r="H363" s="133">
        <f t="shared" ca="1" si="88"/>
        <v>0</v>
      </c>
      <c r="I363" s="133">
        <f t="shared" ca="1" si="87"/>
        <v>0</v>
      </c>
      <c r="W363" s="983" t="str">
        <f ca="1">AB363&amp;"-"&amp;COUNTIF($AB$2:$AB363,$AB363)</f>
        <v>0-2-0-148</v>
      </c>
      <c r="X363" s="989" t="s">
        <v>283</v>
      </c>
      <c r="Y363" s="985">
        <f t="shared" ca="1" si="81"/>
        <v>0</v>
      </c>
      <c r="Z363" s="988">
        <v>2</v>
      </c>
      <c r="AA363" s="985">
        <f t="shared" ca="1" si="84"/>
        <v>0</v>
      </c>
      <c r="AB363" s="987" t="str">
        <f t="shared" ca="1" si="85"/>
        <v>0-2-0</v>
      </c>
    </row>
    <row r="364" spans="1:28" ht="15" customHeight="1" x14ac:dyDescent="0.2">
      <c r="A364" s="130" t="s">
        <v>74</v>
      </c>
      <c r="B364" s="130" t="s">
        <v>106</v>
      </c>
      <c r="C364" s="130" t="s">
        <v>284</v>
      </c>
      <c r="D364" s="974" t="s">
        <v>21</v>
      </c>
      <c r="E364" s="130">
        <v>3</v>
      </c>
      <c r="F364" s="100" t="str">
        <f t="shared" si="86"/>
        <v>WORKFORCE-23</v>
      </c>
      <c r="G364" s="100">
        <f t="shared" si="83"/>
        <v>3</v>
      </c>
      <c r="H364" s="133">
        <f t="shared" ca="1" si="88"/>
        <v>0</v>
      </c>
      <c r="I364" s="133">
        <f t="shared" ca="1" si="87"/>
        <v>0</v>
      </c>
      <c r="W364" s="983" t="str">
        <f ca="1">AB364&amp;"-"&amp;COUNTIF($AB$2:$AB364,$AB364)</f>
        <v>0-3-0-85</v>
      </c>
      <c r="X364" s="989" t="s">
        <v>284</v>
      </c>
      <c r="Y364" s="985">
        <f t="shared" ca="1" si="81"/>
        <v>0</v>
      </c>
      <c r="Z364" s="988">
        <v>3</v>
      </c>
      <c r="AA364" s="985">
        <f t="shared" ca="1" si="84"/>
        <v>0</v>
      </c>
      <c r="AB364" s="987" t="str">
        <f t="shared" ca="1" si="85"/>
        <v>0-3-0</v>
      </c>
    </row>
    <row r="365" spans="1:28" ht="15" customHeight="1" x14ac:dyDescent="0.2">
      <c r="A365" s="130" t="s">
        <v>74</v>
      </c>
      <c r="B365" s="130" t="s">
        <v>106</v>
      </c>
      <c r="C365" s="130" t="s">
        <v>285</v>
      </c>
      <c r="D365" s="974" t="s">
        <v>103</v>
      </c>
      <c r="E365" s="130">
        <v>3</v>
      </c>
      <c r="F365" s="100" t="str">
        <f t="shared" si="86"/>
        <v>WORKFORCE-23</v>
      </c>
      <c r="G365" s="100">
        <f t="shared" si="83"/>
        <v>3</v>
      </c>
      <c r="H365" s="133">
        <f t="shared" ca="1" si="88"/>
        <v>0</v>
      </c>
      <c r="I365" s="133">
        <f t="shared" ca="1" si="87"/>
        <v>0</v>
      </c>
      <c r="W365" s="983" t="str">
        <f ca="1">AB365&amp;"-"&amp;COUNTIF($AB$2:$AB365,$AB365)</f>
        <v>0-3-0-86</v>
      </c>
      <c r="X365" s="989" t="s">
        <v>285</v>
      </c>
      <c r="Y365" s="985">
        <f t="shared" ca="1" si="81"/>
        <v>0</v>
      </c>
      <c r="Z365" s="988">
        <v>3</v>
      </c>
      <c r="AA365" s="985">
        <f t="shared" ca="1" si="84"/>
        <v>0</v>
      </c>
      <c r="AB365" s="987" t="str">
        <f t="shared" ca="1" si="85"/>
        <v>0-3-0</v>
      </c>
    </row>
    <row r="366" spans="1:28" ht="15" customHeight="1" x14ac:dyDescent="0.2">
      <c r="A366" s="130" t="s">
        <v>74</v>
      </c>
      <c r="B366" s="130" t="s">
        <v>106</v>
      </c>
      <c r="C366" s="130" t="s">
        <v>2654</v>
      </c>
      <c r="D366" s="974" t="s">
        <v>165</v>
      </c>
      <c r="E366" s="130">
        <v>3</v>
      </c>
      <c r="F366" s="100" t="str">
        <f t="shared" si="86"/>
        <v>WORKFORCE-23</v>
      </c>
      <c r="G366" s="100">
        <f t="shared" si="83"/>
        <v>3</v>
      </c>
      <c r="H366" s="133">
        <f t="shared" ca="1" si="88"/>
        <v>0</v>
      </c>
      <c r="I366" s="133">
        <f t="shared" ref="I366" ca="1" si="91">IFERROR(IF(H366&gt;2,1,0),0)</f>
        <v>0</v>
      </c>
      <c r="W366" s="983" t="str">
        <f ca="1">AB366&amp;"-"&amp;COUNTIF($AB$2:$AB366,$AB366)</f>
        <v>0-3-0-87</v>
      </c>
      <c r="X366" s="989" t="s">
        <v>2654</v>
      </c>
      <c r="Y366" s="985">
        <f t="shared" ca="1" si="81"/>
        <v>0</v>
      </c>
      <c r="Z366" s="988">
        <v>3</v>
      </c>
      <c r="AA366" s="985">
        <f t="shared" ca="1" si="84"/>
        <v>0</v>
      </c>
      <c r="AB366" s="987" t="str">
        <f t="shared" ca="1" si="85"/>
        <v>0-3-0</v>
      </c>
    </row>
    <row r="367" spans="1:28" ht="15" customHeight="1" x14ac:dyDescent="0.2">
      <c r="A367" s="130" t="s">
        <v>74</v>
      </c>
      <c r="B367" s="130" t="s">
        <v>108</v>
      </c>
      <c r="C367" s="130" t="s">
        <v>286</v>
      </c>
      <c r="D367" s="974" t="s">
        <v>22</v>
      </c>
      <c r="E367" s="130">
        <v>1</v>
      </c>
      <c r="F367" s="100" t="str">
        <f t="shared" si="86"/>
        <v>WORKFORCE-31</v>
      </c>
      <c r="G367" s="100">
        <f t="shared" si="83"/>
        <v>2</v>
      </c>
      <c r="H367" s="133">
        <f t="shared" ca="1" si="88"/>
        <v>0</v>
      </c>
      <c r="I367" s="133">
        <f t="shared" ca="1" si="87"/>
        <v>0</v>
      </c>
      <c r="W367" s="983" t="str">
        <f ca="1">AB367&amp;"-"&amp;COUNTIF($AB$2:$AB367,$AB367)</f>
        <v>0-1-0-63</v>
      </c>
      <c r="X367" s="989" t="s">
        <v>286</v>
      </c>
      <c r="Y367" s="985">
        <f t="shared" ca="1" si="81"/>
        <v>0</v>
      </c>
      <c r="Z367" s="988">
        <v>1</v>
      </c>
      <c r="AA367" s="985">
        <f t="shared" ca="1" si="84"/>
        <v>0</v>
      </c>
      <c r="AB367" s="987" t="str">
        <f t="shared" ca="1" si="85"/>
        <v>0-1-0</v>
      </c>
    </row>
    <row r="368" spans="1:28" ht="15" customHeight="1" x14ac:dyDescent="0.2">
      <c r="A368" s="130" t="s">
        <v>74</v>
      </c>
      <c r="B368" s="130" t="s">
        <v>108</v>
      </c>
      <c r="C368" s="130" t="s">
        <v>287</v>
      </c>
      <c r="D368" s="974" t="s">
        <v>23</v>
      </c>
      <c r="E368" s="130">
        <v>1</v>
      </c>
      <c r="F368" s="100" t="str">
        <f t="shared" si="86"/>
        <v>WORKFORCE-31</v>
      </c>
      <c r="G368" s="100">
        <f t="shared" si="83"/>
        <v>2</v>
      </c>
      <c r="H368" s="133">
        <f t="shared" ca="1" si="88"/>
        <v>0</v>
      </c>
      <c r="I368" s="133">
        <f t="shared" ca="1" si="87"/>
        <v>0</v>
      </c>
      <c r="W368" s="983" t="str">
        <f ca="1">AB368&amp;"-"&amp;COUNTIF($AB$2:$AB368,$AB368)</f>
        <v>0-1-0-64</v>
      </c>
      <c r="X368" s="989" t="s">
        <v>287</v>
      </c>
      <c r="Y368" s="985">
        <f t="shared" ca="1" si="81"/>
        <v>0</v>
      </c>
      <c r="Z368" s="988">
        <v>1</v>
      </c>
      <c r="AA368" s="985">
        <f t="shared" ca="1" si="84"/>
        <v>0</v>
      </c>
      <c r="AB368" s="987" t="str">
        <f t="shared" ca="1" si="85"/>
        <v>0-1-0</v>
      </c>
    </row>
    <row r="369" spans="1:28" ht="15" customHeight="1" x14ac:dyDescent="0.2">
      <c r="A369" s="130" t="s">
        <v>74</v>
      </c>
      <c r="B369" s="130" t="s">
        <v>108</v>
      </c>
      <c r="C369" s="130" t="s">
        <v>288</v>
      </c>
      <c r="D369" s="974" t="s">
        <v>24</v>
      </c>
      <c r="E369" s="130">
        <v>2</v>
      </c>
      <c r="F369" s="100" t="str">
        <f t="shared" si="86"/>
        <v>WORKFORCE-32</v>
      </c>
      <c r="G369" s="100">
        <f t="shared" si="83"/>
        <v>2</v>
      </c>
      <c r="H369" s="133">
        <f t="shared" ca="1" si="88"/>
        <v>0</v>
      </c>
      <c r="I369" s="133">
        <f t="shared" ca="1" si="87"/>
        <v>0</v>
      </c>
      <c r="W369" s="983" t="str">
        <f ca="1">AB369&amp;"-"&amp;COUNTIF($AB$2:$AB369,$AB369)</f>
        <v>0-2-0-149</v>
      </c>
      <c r="X369" s="989" t="s">
        <v>288</v>
      </c>
      <c r="Y369" s="985">
        <f t="shared" ca="1" si="81"/>
        <v>0</v>
      </c>
      <c r="Z369" s="988">
        <v>2</v>
      </c>
      <c r="AA369" s="985">
        <f t="shared" ca="1" si="84"/>
        <v>0</v>
      </c>
      <c r="AB369" s="987" t="str">
        <f t="shared" ca="1" si="85"/>
        <v>0-2-0</v>
      </c>
    </row>
    <row r="370" spans="1:28" ht="15" customHeight="1" x14ac:dyDescent="0.2">
      <c r="A370" s="130" t="s">
        <v>74</v>
      </c>
      <c r="B370" s="130" t="s">
        <v>108</v>
      </c>
      <c r="C370" s="130" t="s">
        <v>289</v>
      </c>
      <c r="D370" s="974" t="s">
        <v>25</v>
      </c>
      <c r="E370" s="130">
        <v>2</v>
      </c>
      <c r="F370" s="100" t="str">
        <f t="shared" si="86"/>
        <v>WORKFORCE-32</v>
      </c>
      <c r="G370" s="100">
        <f t="shared" si="83"/>
        <v>2</v>
      </c>
      <c r="H370" s="133">
        <f t="shared" ca="1" si="88"/>
        <v>0</v>
      </c>
      <c r="I370" s="133">
        <f t="shared" ca="1" si="87"/>
        <v>0</v>
      </c>
      <c r="W370" s="983" t="str">
        <f ca="1">AB370&amp;"-"&amp;COUNTIF($AB$2:$AB370,$AB370)</f>
        <v>0-2-0-150</v>
      </c>
      <c r="X370" s="989" t="s">
        <v>289</v>
      </c>
      <c r="Y370" s="985">
        <f t="shared" ca="1" si="81"/>
        <v>0</v>
      </c>
      <c r="Z370" s="988">
        <v>2</v>
      </c>
      <c r="AA370" s="985">
        <f t="shared" ca="1" si="84"/>
        <v>0</v>
      </c>
      <c r="AB370" s="987" t="str">
        <f t="shared" ca="1" si="85"/>
        <v>0-2-0</v>
      </c>
    </row>
    <row r="371" spans="1:28" x14ac:dyDescent="0.2">
      <c r="A371" s="130" t="s">
        <v>74</v>
      </c>
      <c r="B371" s="130" t="s">
        <v>108</v>
      </c>
      <c r="C371" s="130" t="s">
        <v>290</v>
      </c>
      <c r="D371" s="974" t="s">
        <v>26</v>
      </c>
      <c r="E371" s="130">
        <v>3</v>
      </c>
      <c r="F371" s="100" t="str">
        <f t="shared" si="86"/>
        <v>WORKFORCE-33</v>
      </c>
      <c r="G371" s="100">
        <f t="shared" si="83"/>
        <v>2</v>
      </c>
      <c r="H371" s="133">
        <f t="shared" ca="1" si="88"/>
        <v>0</v>
      </c>
      <c r="I371" s="133">
        <f t="shared" ca="1" si="87"/>
        <v>0</v>
      </c>
      <c r="W371" s="983" t="str">
        <f ca="1">AB371&amp;"-"&amp;COUNTIF($AB$2:$AB371,$AB371)</f>
        <v>0-3-0-88</v>
      </c>
      <c r="X371" s="989" t="s">
        <v>290</v>
      </c>
      <c r="Y371" s="985">
        <f t="shared" ca="1" si="81"/>
        <v>0</v>
      </c>
      <c r="Z371" s="1034">
        <v>3</v>
      </c>
      <c r="AA371" s="985">
        <f t="shared" ca="1" si="84"/>
        <v>0</v>
      </c>
      <c r="AB371" s="987" t="str">
        <f t="shared" ca="1" si="85"/>
        <v>0-3-0</v>
      </c>
    </row>
    <row r="372" spans="1:28" x14ac:dyDescent="0.2">
      <c r="A372" s="130" t="s">
        <v>74</v>
      </c>
      <c r="B372" s="130" t="s">
        <v>108</v>
      </c>
      <c r="C372" s="130" t="s">
        <v>291</v>
      </c>
      <c r="D372" s="974" t="s">
        <v>27</v>
      </c>
      <c r="E372" s="130">
        <v>3</v>
      </c>
      <c r="F372" s="100" t="str">
        <f t="shared" si="86"/>
        <v>WORKFORCE-33</v>
      </c>
      <c r="G372" s="100">
        <f t="shared" si="83"/>
        <v>2</v>
      </c>
      <c r="H372" s="133">
        <f t="shared" ca="1" si="88"/>
        <v>0</v>
      </c>
      <c r="I372" s="133">
        <f t="shared" ca="1" si="87"/>
        <v>0</v>
      </c>
      <c r="W372" s="983" t="str">
        <f ca="1">AB372&amp;"-"&amp;COUNTIF($AB$2:$AB372,$AB372)</f>
        <v>0-3-0-89</v>
      </c>
      <c r="X372" s="989" t="s">
        <v>291</v>
      </c>
      <c r="Y372" s="985">
        <f t="shared" ca="1" si="81"/>
        <v>0</v>
      </c>
      <c r="Z372" s="1034">
        <v>3</v>
      </c>
      <c r="AA372" s="985">
        <f t="shared" ca="1" si="84"/>
        <v>0</v>
      </c>
      <c r="AB372" s="987" t="str">
        <f t="shared" ca="1" si="85"/>
        <v>0-3-0</v>
      </c>
    </row>
    <row r="373" spans="1:28" x14ac:dyDescent="0.2">
      <c r="A373" s="130" t="s">
        <v>74</v>
      </c>
      <c r="B373" s="130" t="s">
        <v>110</v>
      </c>
      <c r="C373" s="130" t="s">
        <v>292</v>
      </c>
      <c r="D373" s="974" t="s">
        <v>117</v>
      </c>
      <c r="E373" s="130">
        <v>1</v>
      </c>
      <c r="F373" s="100" t="str">
        <f t="shared" si="86"/>
        <v>WORKFORCE-41</v>
      </c>
      <c r="G373" s="100">
        <f t="shared" si="83"/>
        <v>2</v>
      </c>
      <c r="H373" s="133">
        <f t="shared" ca="1" si="88"/>
        <v>0</v>
      </c>
      <c r="I373" s="133">
        <f t="shared" ca="1" si="87"/>
        <v>0</v>
      </c>
      <c r="W373" s="983" t="str">
        <f ca="1">AB373&amp;"-"&amp;COUNTIF($AB$2:$AB373,$AB373)</f>
        <v>0-1-0-65</v>
      </c>
      <c r="X373" s="989" t="s">
        <v>292</v>
      </c>
      <c r="Y373" s="985">
        <f t="shared" ca="1" si="81"/>
        <v>0</v>
      </c>
      <c r="Z373" s="1034">
        <v>1</v>
      </c>
      <c r="AA373" s="985">
        <f t="shared" ca="1" si="84"/>
        <v>0</v>
      </c>
      <c r="AB373" s="987" t="str">
        <f t="shared" ca="1" si="85"/>
        <v>0-1-0</v>
      </c>
    </row>
    <row r="374" spans="1:28" x14ac:dyDescent="0.2">
      <c r="A374" s="130" t="s">
        <v>74</v>
      </c>
      <c r="B374" s="130" t="s">
        <v>110</v>
      </c>
      <c r="C374" s="130" t="s">
        <v>293</v>
      </c>
      <c r="D374" s="974" t="s">
        <v>120</v>
      </c>
      <c r="E374" s="130">
        <v>1</v>
      </c>
      <c r="F374" s="100" t="str">
        <f t="shared" si="86"/>
        <v>WORKFORCE-41</v>
      </c>
      <c r="G374" s="100">
        <f t="shared" si="83"/>
        <v>2</v>
      </c>
      <c r="H374" s="133">
        <f t="shared" ca="1" si="88"/>
        <v>0</v>
      </c>
      <c r="I374" s="133">
        <f t="shared" ca="1" si="87"/>
        <v>0</v>
      </c>
      <c r="W374" s="983" t="str">
        <f ca="1">AB374&amp;"-"&amp;COUNTIF($AB$2:$AB374,$AB374)</f>
        <v>0-1-0-66</v>
      </c>
      <c r="X374" s="989" t="s">
        <v>293</v>
      </c>
      <c r="Y374" s="985">
        <f t="shared" ref="Y374:Y384" ca="1" si="92">VLOOKUP(LEFT($X374,LEN($X374)-1),$K:$O,5,FALSE)</f>
        <v>0</v>
      </c>
      <c r="Z374" s="1034">
        <v>1</v>
      </c>
      <c r="AA374" s="985">
        <f t="shared" ca="1" si="84"/>
        <v>0</v>
      </c>
      <c r="AB374" s="987" t="str">
        <f t="shared" ca="1" si="85"/>
        <v>0-1-0</v>
      </c>
    </row>
    <row r="375" spans="1:28" x14ac:dyDescent="0.2">
      <c r="A375" s="130" t="s">
        <v>74</v>
      </c>
      <c r="B375" s="130" t="s">
        <v>110</v>
      </c>
      <c r="C375" s="130" t="s">
        <v>294</v>
      </c>
      <c r="D375" s="974" t="s">
        <v>123</v>
      </c>
      <c r="E375" s="130">
        <v>2</v>
      </c>
      <c r="F375" s="100" t="str">
        <f t="shared" si="86"/>
        <v>WORKFORCE-42</v>
      </c>
      <c r="G375" s="100">
        <f t="shared" si="83"/>
        <v>2</v>
      </c>
      <c r="H375" s="133">
        <f t="shared" ca="1" si="88"/>
        <v>0</v>
      </c>
      <c r="I375" s="133">
        <f t="shared" ca="1" si="87"/>
        <v>0</v>
      </c>
      <c r="W375" s="983" t="str">
        <f ca="1">AB375&amp;"-"&amp;COUNTIF($AB$2:$AB375,$AB375)</f>
        <v>0-2-0-151</v>
      </c>
      <c r="X375" s="989" t="s">
        <v>294</v>
      </c>
      <c r="Y375" s="985">
        <f t="shared" ca="1" si="92"/>
        <v>0</v>
      </c>
      <c r="Z375" s="1034">
        <v>2</v>
      </c>
      <c r="AA375" s="985">
        <f t="shared" ca="1" si="84"/>
        <v>0</v>
      </c>
      <c r="AB375" s="987" t="str">
        <f t="shared" ca="1" si="85"/>
        <v>0-2-0</v>
      </c>
    </row>
    <row r="376" spans="1:28" x14ac:dyDescent="0.2">
      <c r="A376" s="130" t="s">
        <v>74</v>
      </c>
      <c r="B376" s="130" t="s">
        <v>110</v>
      </c>
      <c r="C376" s="130" t="s">
        <v>295</v>
      </c>
      <c r="D376" s="974" t="s">
        <v>126</v>
      </c>
      <c r="E376" s="130">
        <v>2</v>
      </c>
      <c r="F376" s="100" t="str">
        <f t="shared" si="86"/>
        <v>WORKFORCE-42</v>
      </c>
      <c r="G376" s="100">
        <f t="shared" si="83"/>
        <v>2</v>
      </c>
      <c r="H376" s="133">
        <f t="shared" ca="1" si="88"/>
        <v>0</v>
      </c>
      <c r="I376" s="133">
        <f t="shared" ca="1" si="87"/>
        <v>0</v>
      </c>
      <c r="W376" s="983" t="str">
        <f ca="1">AB376&amp;"-"&amp;COUNTIF($AB$2:$AB376,$AB376)</f>
        <v>0-2-0-152</v>
      </c>
      <c r="X376" s="989" t="s">
        <v>295</v>
      </c>
      <c r="Y376" s="985">
        <f t="shared" ca="1" si="92"/>
        <v>0</v>
      </c>
      <c r="Z376" s="1034">
        <v>2</v>
      </c>
      <c r="AA376" s="985">
        <f t="shared" ca="1" si="84"/>
        <v>0</v>
      </c>
      <c r="AB376" s="987" t="str">
        <f t="shared" ca="1" si="85"/>
        <v>0-2-0</v>
      </c>
    </row>
    <row r="377" spans="1:28" x14ac:dyDescent="0.2">
      <c r="A377" s="130" t="s">
        <v>74</v>
      </c>
      <c r="B377" s="130" t="s">
        <v>110</v>
      </c>
      <c r="C377" s="130" t="s">
        <v>296</v>
      </c>
      <c r="D377" s="974" t="s">
        <v>129</v>
      </c>
      <c r="E377" s="130">
        <v>3</v>
      </c>
      <c r="F377" s="100" t="str">
        <f t="shared" si="86"/>
        <v>WORKFORCE-43</v>
      </c>
      <c r="G377" s="100">
        <f t="shared" si="83"/>
        <v>2</v>
      </c>
      <c r="H377" s="133">
        <f t="shared" ca="1" si="88"/>
        <v>0</v>
      </c>
      <c r="I377" s="133">
        <f t="shared" ca="1" si="87"/>
        <v>0</v>
      </c>
      <c r="W377" s="983" t="str">
        <f ca="1">AB377&amp;"-"&amp;COUNTIF($AB$2:$AB377,$AB377)</f>
        <v>0-3-0-90</v>
      </c>
      <c r="X377" s="989" t="s">
        <v>296</v>
      </c>
      <c r="Y377" s="985">
        <f t="shared" ca="1" si="92"/>
        <v>0</v>
      </c>
      <c r="Z377" s="1034">
        <v>3</v>
      </c>
      <c r="AA377" s="985">
        <f t="shared" ca="1" si="84"/>
        <v>0</v>
      </c>
      <c r="AB377" s="987" t="str">
        <f t="shared" ca="1" si="85"/>
        <v>0-3-0</v>
      </c>
    </row>
    <row r="378" spans="1:28" x14ac:dyDescent="0.2">
      <c r="A378" s="130" t="s">
        <v>74</v>
      </c>
      <c r="B378" s="130" t="s">
        <v>110</v>
      </c>
      <c r="C378" s="130" t="s">
        <v>2655</v>
      </c>
      <c r="D378" s="974" t="s">
        <v>131</v>
      </c>
      <c r="E378" s="130">
        <v>3</v>
      </c>
      <c r="F378" s="100" t="str">
        <f t="shared" si="86"/>
        <v>WORKFORCE-43</v>
      </c>
      <c r="G378" s="100">
        <f t="shared" si="83"/>
        <v>2</v>
      </c>
      <c r="H378" s="133">
        <f t="shared" ca="1" si="88"/>
        <v>0</v>
      </c>
      <c r="I378" s="133">
        <f t="shared" ref="I378" ca="1" si="93">IFERROR(IF(H378&gt;2,1,0),0)</f>
        <v>0</v>
      </c>
      <c r="W378" s="983" t="str">
        <f ca="1">AB378&amp;"-"&amp;COUNTIF($AB$2:$AB378,$AB378)</f>
        <v>0-3-0-91</v>
      </c>
      <c r="X378" s="989" t="s">
        <v>2655</v>
      </c>
      <c r="Y378" s="985">
        <f t="shared" ca="1" si="92"/>
        <v>0</v>
      </c>
      <c r="Z378" s="1034">
        <v>3</v>
      </c>
      <c r="AA378" s="985">
        <f t="shared" ca="1" si="84"/>
        <v>0</v>
      </c>
      <c r="AB378" s="987" t="str">
        <f t="shared" ca="1" si="85"/>
        <v>0-3-0</v>
      </c>
    </row>
    <row r="379" spans="1:28" x14ac:dyDescent="0.2">
      <c r="A379" s="130" t="s">
        <v>74</v>
      </c>
      <c r="B379" s="130" t="s">
        <v>112</v>
      </c>
      <c r="C379" s="130" t="s">
        <v>297</v>
      </c>
      <c r="D379" s="974" t="s">
        <v>134</v>
      </c>
      <c r="E379" s="130">
        <v>2</v>
      </c>
      <c r="F379" s="100" t="str">
        <f t="shared" ref="F379:F384" si="94">CONCATENATE($B379,$E379)</f>
        <v>WORKFORCE-52</v>
      </c>
      <c r="G379" s="100">
        <f t="shared" si="83"/>
        <v>2</v>
      </c>
      <c r="H379" s="133">
        <f t="shared" ref="H379:H384" ca="1" si="95">INT(LEFT(
VLOOKUP($D379, INDIRECT("'"&amp;$A379&amp;"'!"&amp;"$D:$G"), 4,FALSE), 1)
)</f>
        <v>0</v>
      </c>
      <c r="I379" s="133">
        <f t="shared" ca="1" si="87"/>
        <v>0</v>
      </c>
      <c r="W379" s="983" t="str">
        <f ca="1">AB379&amp;"-"&amp;COUNTIF($AB$2:$AB379,$AB379)</f>
        <v>1-2-0-25</v>
      </c>
      <c r="X379" s="989" t="s">
        <v>297</v>
      </c>
      <c r="Y379" s="985">
        <f t="shared" ca="1" si="92"/>
        <v>1</v>
      </c>
      <c r="Z379" s="1034">
        <v>2</v>
      </c>
      <c r="AA379" s="985">
        <f t="shared" ca="1" si="84"/>
        <v>0</v>
      </c>
      <c r="AB379" s="987" t="str">
        <f t="shared" ca="1" si="85"/>
        <v>1-2-0</v>
      </c>
    </row>
    <row r="380" spans="1:28" x14ac:dyDescent="0.2">
      <c r="A380" s="130" t="s">
        <v>74</v>
      </c>
      <c r="B380" s="130" t="s">
        <v>112</v>
      </c>
      <c r="C380" s="130" t="s">
        <v>298</v>
      </c>
      <c r="D380" s="974" t="s">
        <v>137</v>
      </c>
      <c r="E380" s="130">
        <v>2</v>
      </c>
      <c r="F380" s="100" t="str">
        <f t="shared" si="94"/>
        <v>WORKFORCE-52</v>
      </c>
      <c r="G380" s="100">
        <f t="shared" si="83"/>
        <v>2</v>
      </c>
      <c r="H380" s="133">
        <f t="shared" ca="1" si="95"/>
        <v>0</v>
      </c>
      <c r="I380" s="133">
        <f t="shared" ca="1" si="87"/>
        <v>0</v>
      </c>
      <c r="W380" s="983" t="str">
        <f ca="1">AB380&amp;"-"&amp;COUNTIF($AB$2:$AB380,$AB380)</f>
        <v>1-2-0-26</v>
      </c>
      <c r="X380" s="989" t="s">
        <v>298</v>
      </c>
      <c r="Y380" s="985">
        <f t="shared" ca="1" si="92"/>
        <v>1</v>
      </c>
      <c r="Z380" s="1034">
        <v>2</v>
      </c>
      <c r="AA380" s="985">
        <f t="shared" ca="1" si="84"/>
        <v>0</v>
      </c>
      <c r="AB380" s="987" t="str">
        <f t="shared" ca="1" si="85"/>
        <v>1-2-0</v>
      </c>
    </row>
    <row r="381" spans="1:28" x14ac:dyDescent="0.2">
      <c r="A381" s="130" t="s">
        <v>74</v>
      </c>
      <c r="B381" s="130" t="s">
        <v>112</v>
      </c>
      <c r="C381" s="130" t="s">
        <v>299</v>
      </c>
      <c r="D381" s="974" t="s">
        <v>140</v>
      </c>
      <c r="E381" s="130">
        <v>3</v>
      </c>
      <c r="F381" s="100" t="str">
        <f t="shared" si="94"/>
        <v>WORKFORCE-53</v>
      </c>
      <c r="G381" s="100">
        <f t="shared" si="83"/>
        <v>4</v>
      </c>
      <c r="H381" s="133">
        <f t="shared" ca="1" si="95"/>
        <v>0</v>
      </c>
      <c r="I381" s="133">
        <f t="shared" ca="1" si="87"/>
        <v>0</v>
      </c>
      <c r="W381" s="983" t="str">
        <f ca="1">AB381&amp;"-"&amp;COUNTIF($AB$2:$AB381,$AB381)</f>
        <v>1-3-0-45</v>
      </c>
      <c r="X381" s="989" t="s">
        <v>299</v>
      </c>
      <c r="Y381" s="985">
        <f t="shared" ca="1" si="92"/>
        <v>1</v>
      </c>
      <c r="Z381" s="1034">
        <v>3</v>
      </c>
      <c r="AA381" s="985">
        <f t="shared" ca="1" si="84"/>
        <v>0</v>
      </c>
      <c r="AB381" s="987" t="str">
        <f t="shared" ca="1" si="85"/>
        <v>1-3-0</v>
      </c>
    </row>
    <row r="382" spans="1:28" x14ac:dyDescent="0.2">
      <c r="A382" s="130" t="s">
        <v>74</v>
      </c>
      <c r="B382" s="130" t="s">
        <v>112</v>
      </c>
      <c r="C382" s="130" t="s">
        <v>300</v>
      </c>
      <c r="D382" s="974" t="s">
        <v>142</v>
      </c>
      <c r="E382" s="130">
        <v>3</v>
      </c>
      <c r="F382" s="100" t="str">
        <f t="shared" si="94"/>
        <v>WORKFORCE-53</v>
      </c>
      <c r="G382" s="100">
        <f t="shared" si="83"/>
        <v>4</v>
      </c>
      <c r="H382" s="133">
        <f t="shared" ca="1" si="95"/>
        <v>0</v>
      </c>
      <c r="I382" s="133">
        <f t="shared" ca="1" si="87"/>
        <v>0</v>
      </c>
      <c r="W382" s="983" t="str">
        <f ca="1">AB382&amp;"-"&amp;COUNTIF($AB$2:$AB382,$AB382)</f>
        <v>1-3-0-46</v>
      </c>
      <c r="X382" s="989" t="s">
        <v>300</v>
      </c>
      <c r="Y382" s="985">
        <f t="shared" ca="1" si="92"/>
        <v>1</v>
      </c>
      <c r="Z382" s="1034">
        <v>3</v>
      </c>
      <c r="AA382" s="985">
        <f t="shared" ca="1" si="84"/>
        <v>0</v>
      </c>
      <c r="AB382" s="987" t="str">
        <f t="shared" ca="1" si="85"/>
        <v>1-3-0</v>
      </c>
    </row>
    <row r="383" spans="1:28" x14ac:dyDescent="0.2">
      <c r="A383" s="130" t="s">
        <v>74</v>
      </c>
      <c r="B383" s="130" t="s">
        <v>112</v>
      </c>
      <c r="C383" s="130" t="s">
        <v>301</v>
      </c>
      <c r="D383" s="974" t="s">
        <v>144</v>
      </c>
      <c r="E383" s="130">
        <v>3</v>
      </c>
      <c r="F383" s="100" t="str">
        <f t="shared" si="94"/>
        <v>WORKFORCE-53</v>
      </c>
      <c r="G383" s="100">
        <f t="shared" si="83"/>
        <v>4</v>
      </c>
      <c r="H383" s="133">
        <f t="shared" ca="1" si="95"/>
        <v>0</v>
      </c>
      <c r="I383" s="133">
        <f t="shared" ca="1" si="87"/>
        <v>0</v>
      </c>
      <c r="W383" s="983" t="str">
        <f ca="1">AB383&amp;"-"&amp;COUNTIF($AB$2:$AB383,$AB383)</f>
        <v>1-3-0-47</v>
      </c>
      <c r="X383" s="989" t="s">
        <v>301</v>
      </c>
      <c r="Y383" s="985">
        <f t="shared" ca="1" si="92"/>
        <v>1</v>
      </c>
      <c r="Z383" s="1034">
        <v>3</v>
      </c>
      <c r="AA383" s="985">
        <f t="shared" ca="1" si="84"/>
        <v>0</v>
      </c>
      <c r="AB383" s="987" t="str">
        <f t="shared" ca="1" si="85"/>
        <v>1-3-0</v>
      </c>
    </row>
    <row r="384" spans="1:28" x14ac:dyDescent="0.2">
      <c r="A384" s="130" t="s">
        <v>74</v>
      </c>
      <c r="B384" s="130" t="s">
        <v>112</v>
      </c>
      <c r="C384" s="130" t="s">
        <v>302</v>
      </c>
      <c r="D384" s="974" t="s">
        <v>146</v>
      </c>
      <c r="E384" s="130">
        <v>3</v>
      </c>
      <c r="F384" s="100" t="str">
        <f t="shared" si="94"/>
        <v>WORKFORCE-53</v>
      </c>
      <c r="G384" s="100">
        <f t="shared" si="83"/>
        <v>4</v>
      </c>
      <c r="H384" s="133">
        <f t="shared" ca="1" si="95"/>
        <v>0</v>
      </c>
      <c r="I384" s="133">
        <f t="shared" ca="1" si="87"/>
        <v>0</v>
      </c>
      <c r="W384" s="990" t="str">
        <f ca="1">AB384&amp;"-"&amp;COUNTIF($AB$2:$AB384,$AB384)</f>
        <v>1-3-0-48</v>
      </c>
      <c r="X384" s="991" t="s">
        <v>302</v>
      </c>
      <c r="Y384" s="992">
        <f t="shared" ca="1" si="92"/>
        <v>1</v>
      </c>
      <c r="Z384" s="1035">
        <v>3</v>
      </c>
      <c r="AA384" s="992">
        <f t="shared" ca="1" si="84"/>
        <v>0</v>
      </c>
      <c r="AB384" s="993" t="str">
        <f t="shared" ca="1" si="85"/>
        <v>1-3-0</v>
      </c>
    </row>
  </sheetData>
  <sheetProtection sheet="1" autoFilter="0"/>
  <autoFilter ref="A1:I384" xr:uid="{00000000-0009-0000-0000-00001A000000}">
    <sortState xmlns:xlrd2="http://schemas.microsoft.com/office/spreadsheetml/2017/richdata2" ref="A2:I370">
      <sortCondition ref="C1:C370"/>
    </sortState>
  </autoFilter>
  <sortState xmlns:xlrd2="http://schemas.microsoft.com/office/spreadsheetml/2017/richdata2" ref="R53:R109">
    <sortCondition ref="R53"/>
  </sortState>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V847"/>
  <sheetViews>
    <sheetView zoomScale="80" zoomScaleNormal="80" workbookViewId="0">
      <selection activeCell="T16" sqref="T16"/>
    </sheetView>
  </sheetViews>
  <sheetFormatPr defaultRowHeight="13.8" x14ac:dyDescent="0.25"/>
  <cols>
    <col min="1" max="1" width="15.36328125" customWidth="1"/>
    <col min="2" max="2" width="6.6328125" style="556" customWidth="1"/>
    <col min="3" max="3" width="9.81640625" customWidth="1"/>
    <col min="4" max="4" width="12.1796875" customWidth="1"/>
    <col min="6" max="7" width="9.6328125" customWidth="1"/>
    <col min="8" max="8" width="5.6328125" customWidth="1"/>
    <col min="15" max="15" width="5.6328125" customWidth="1"/>
  </cols>
  <sheetData>
    <row r="1" spans="1:22" x14ac:dyDescent="0.25">
      <c r="A1" s="24" t="s">
        <v>1513</v>
      </c>
      <c r="B1" s="70" t="s">
        <v>588</v>
      </c>
      <c r="C1" s="24" t="s">
        <v>1514</v>
      </c>
      <c r="D1" s="24" t="s">
        <v>1514</v>
      </c>
      <c r="E1" s="70" t="s">
        <v>1620</v>
      </c>
      <c r="J1" s="551" t="s">
        <v>446</v>
      </c>
      <c r="K1" s="552" t="s">
        <v>1501</v>
      </c>
      <c r="L1" s="553" t="s">
        <v>1502</v>
      </c>
      <c r="M1" s="554" t="s">
        <v>1503</v>
      </c>
      <c r="N1" s="555" t="s">
        <v>1504</v>
      </c>
    </row>
    <row r="2" spans="1:22" x14ac:dyDescent="0.25">
      <c r="A2" t="s">
        <v>150</v>
      </c>
      <c r="B2" s="556">
        <v>1</v>
      </c>
      <c r="C2" t="s">
        <v>1501</v>
      </c>
      <c r="D2" s="1075" t="s">
        <v>1515</v>
      </c>
      <c r="E2" s="556">
        <f ca="1">VLOOKUP($A2,Data!$C:$I,7,FALSE)</f>
        <v>0</v>
      </c>
      <c r="F2" s="636" t="str">
        <f>CONCATENATE($D2,$B2)</f>
        <v>PR.AC-11</v>
      </c>
      <c r="G2" s="636" t="str">
        <f ca="1">_xlfn.IFNA(CONCATENATE(F2,$E2),CONCATENATE(F2,$E2,0))</f>
        <v>PR.AC-110</v>
      </c>
      <c r="H2" s="636"/>
      <c r="J2" s="556">
        <f>COUNTIFS($C:$C,J$1)</f>
        <v>222</v>
      </c>
      <c r="K2" s="556">
        <f>COUNTIFS($C:$C,K$1)</f>
        <v>367</v>
      </c>
      <c r="L2" s="556">
        <f>COUNTIFS($C:$C,L$1)</f>
        <v>107</v>
      </c>
      <c r="M2" s="556">
        <f>COUNTIFS($C:$C,M$1)</f>
        <v>92</v>
      </c>
      <c r="N2" s="556">
        <f>COUNTIFS($C:$C,N$1)</f>
        <v>24</v>
      </c>
    </row>
    <row r="3" spans="1:22" x14ac:dyDescent="0.25">
      <c r="A3" t="s">
        <v>150</v>
      </c>
      <c r="B3" s="556">
        <v>1</v>
      </c>
      <c r="C3" t="s">
        <v>1501</v>
      </c>
      <c r="D3" s="1075" t="s">
        <v>1516</v>
      </c>
      <c r="E3" s="556">
        <f ca="1">VLOOKUP(A3,Data!C:I,7,FALSE)</f>
        <v>0</v>
      </c>
      <c r="F3" s="636" t="str">
        <f t="shared" ref="F3:F66" si="0">CONCATENATE($D3,$B3)</f>
        <v>PR.AC-61</v>
      </c>
      <c r="G3" s="636" t="str">
        <f t="shared" ref="G3:G66" ca="1" si="1">_xlfn.IFNA(CONCATENATE(F3,$E3),CONCATENATE(F3,$E3,0))</f>
        <v>PR.AC-610</v>
      </c>
      <c r="J3" s="556">
        <f ca="1">COUNTIFS($C:$C,J$1,$E:$E,1)</f>
        <v>0</v>
      </c>
      <c r="K3" s="556">
        <f ca="1">COUNTIFS($C:$C,K$1,$E:$E,1)</f>
        <v>0</v>
      </c>
      <c r="L3" s="556">
        <f ca="1">COUNTIFS($C:$C,L$1,$E:$E,1)</f>
        <v>0</v>
      </c>
      <c r="M3" s="556">
        <f ca="1">COUNTIFS($C:$C,M$1,$E:$E,1)</f>
        <v>0</v>
      </c>
      <c r="N3" s="556">
        <f ca="1">COUNTIFS($C:$C,N$1,$E:$E,1)</f>
        <v>0</v>
      </c>
    </row>
    <row r="4" spans="1:22" x14ac:dyDescent="0.25">
      <c r="A4" t="s">
        <v>152</v>
      </c>
      <c r="B4" s="556">
        <v>1</v>
      </c>
      <c r="C4" t="s">
        <v>1501</v>
      </c>
      <c r="D4" s="1075" t="s">
        <v>1515</v>
      </c>
      <c r="E4" s="556">
        <f ca="1">VLOOKUP(A4,Data!C:I,7,FALSE)</f>
        <v>0</v>
      </c>
      <c r="F4" s="636" t="str">
        <f t="shared" si="0"/>
        <v>PR.AC-11</v>
      </c>
      <c r="G4" s="636" t="str">
        <f t="shared" ca="1" si="1"/>
        <v>PR.AC-110</v>
      </c>
    </row>
    <row r="5" spans="1:22" x14ac:dyDescent="0.25">
      <c r="A5" t="s">
        <v>152</v>
      </c>
      <c r="B5" s="556">
        <v>1</v>
      </c>
      <c r="C5" t="s">
        <v>1501</v>
      </c>
      <c r="D5" s="1075" t="s">
        <v>1516</v>
      </c>
      <c r="E5" s="556">
        <f ca="1">VLOOKUP(A5,Data!C:I,7,FALSE)</f>
        <v>0</v>
      </c>
      <c r="F5" s="636" t="str">
        <f t="shared" si="0"/>
        <v>PR.AC-61</v>
      </c>
      <c r="G5" s="636" t="str">
        <f t="shared" ca="1" si="1"/>
        <v>PR.AC-610</v>
      </c>
      <c r="J5" t="s">
        <v>1622</v>
      </c>
      <c r="K5" t="s">
        <v>1623</v>
      </c>
      <c r="L5" t="s">
        <v>1624</v>
      </c>
      <c r="M5" t="s">
        <v>1625</v>
      </c>
      <c r="N5" t="s">
        <v>1626</v>
      </c>
      <c r="P5" s="557" t="s">
        <v>797</v>
      </c>
      <c r="Q5" s="558" t="s">
        <v>798</v>
      </c>
      <c r="R5" s="558" t="s">
        <v>799</v>
      </c>
      <c r="S5" s="559" t="s">
        <v>800</v>
      </c>
    </row>
    <row r="6" spans="1:22" x14ac:dyDescent="0.25">
      <c r="A6" t="s">
        <v>153</v>
      </c>
      <c r="B6" s="556">
        <v>1</v>
      </c>
      <c r="C6" t="s">
        <v>1501</v>
      </c>
      <c r="D6" s="1075" t="s">
        <v>1515</v>
      </c>
      <c r="E6" s="556">
        <f ca="1">VLOOKUP(A6,Data!C:I,7,FALSE)</f>
        <v>0</v>
      </c>
      <c r="F6" s="636" t="str">
        <f t="shared" si="0"/>
        <v>PR.AC-11</v>
      </c>
      <c r="G6" s="636" t="str">
        <f t="shared" ca="1" si="1"/>
        <v>PR.AC-110</v>
      </c>
      <c r="J6" s="556" t="str">
        <f>IF(VLOOKUP(J$5,Languages!$A:$D,1,TRUE)=J$5,VLOOKUP(J$5,Languages!$A:$D,Summary!$C$7,TRUE),NA())</f>
        <v>Tunnistaminen</v>
      </c>
      <c r="K6" s="556" t="str">
        <f>IF(VLOOKUP(K$5,Languages!$A:$D,1,TRUE)=K$5,VLOOKUP(K$5,Languages!$A:$D,Summary!$C$7,TRUE),NA())</f>
        <v>Suojautuminen</v>
      </c>
      <c r="L6" s="556" t="str">
        <f>IF(VLOOKUP(L$5,Languages!$A:$D,1,TRUE)=L$5,VLOOKUP(L$5,Languages!$A:$D,Summary!$C$7,TRUE),NA())</f>
        <v>Havainnointi</v>
      </c>
      <c r="M6" s="556" t="str">
        <f>IF(VLOOKUP(M$5,Languages!$A:$D,1,TRUE)=M$5,VLOOKUP(M$5,Languages!$A:$D,Summary!$C$7,TRUE),NA())</f>
        <v>Reagointi</v>
      </c>
      <c r="N6" s="556" t="str">
        <f>IF(VLOOKUP(N$5,Languages!$A:$D,1,TRUE)=N$5,VLOOKUP(N$5,Languages!$A:$D,Summary!$C$7,TRUE),NA())</f>
        <v>Palautuminen</v>
      </c>
      <c r="P6" s="560">
        <v>0.3</v>
      </c>
      <c r="Q6" s="561">
        <v>0.3</v>
      </c>
      <c r="R6" s="561">
        <v>0.3</v>
      </c>
      <c r="S6" s="562">
        <v>0.1</v>
      </c>
    </row>
    <row r="7" spans="1:22" x14ac:dyDescent="0.25">
      <c r="A7" t="s">
        <v>153</v>
      </c>
      <c r="B7" s="556">
        <v>1</v>
      </c>
      <c r="C7" t="s">
        <v>1501</v>
      </c>
      <c r="D7" s="1075" t="s">
        <v>1618</v>
      </c>
      <c r="E7" s="556">
        <f ca="1">VLOOKUP(A7,Data!C:I,7,FALSE)</f>
        <v>0</v>
      </c>
      <c r="F7" s="636" t="str">
        <f t="shared" si="0"/>
        <v>PR.IP-111</v>
      </c>
      <c r="G7" s="636" t="str">
        <f t="shared" ca="1" si="1"/>
        <v>PR.IP-1110</v>
      </c>
      <c r="I7" t="s">
        <v>1505</v>
      </c>
      <c r="J7" s="565">
        <f ca="1">J3/J2</f>
        <v>0</v>
      </c>
      <c r="K7" s="565">
        <f ca="1">K3/K2</f>
        <v>0</v>
      </c>
      <c r="L7" s="565">
        <f ca="1">L3/L2</f>
        <v>0</v>
      </c>
      <c r="M7" s="565">
        <f ca="1">M3/M2</f>
        <v>0</v>
      </c>
      <c r="N7" s="565">
        <f ca="1">N3/N2</f>
        <v>0</v>
      </c>
      <c r="P7" s="118">
        <v>0.3</v>
      </c>
      <c r="Q7" s="95">
        <v>0.3</v>
      </c>
      <c r="R7" s="95">
        <v>0.3</v>
      </c>
      <c r="S7" s="106">
        <v>0.1</v>
      </c>
    </row>
    <row r="8" spans="1:22" x14ac:dyDescent="0.25">
      <c r="A8" t="s">
        <v>154</v>
      </c>
      <c r="B8" s="556">
        <v>2</v>
      </c>
      <c r="C8" t="s">
        <v>1501</v>
      </c>
      <c r="D8" s="1075" t="s">
        <v>1515</v>
      </c>
      <c r="E8" s="556">
        <f ca="1">VLOOKUP(A8,Data!C:I,7,FALSE)</f>
        <v>0</v>
      </c>
      <c r="F8" s="636" t="str">
        <f t="shared" si="0"/>
        <v>PR.AC-12</v>
      </c>
      <c r="G8" s="636" t="str">
        <f t="shared" ca="1" si="1"/>
        <v>PR.AC-120</v>
      </c>
      <c r="J8" s="556"/>
      <c r="K8" s="556"/>
      <c r="L8" s="556"/>
      <c r="M8" s="556"/>
      <c r="N8" s="556"/>
      <c r="P8" s="118">
        <v>0.3</v>
      </c>
      <c r="Q8" s="95">
        <v>0.3</v>
      </c>
      <c r="R8" s="95">
        <v>0.3</v>
      </c>
      <c r="S8" s="106">
        <v>0.1</v>
      </c>
    </row>
    <row r="9" spans="1:22" x14ac:dyDescent="0.25">
      <c r="A9" t="s">
        <v>155</v>
      </c>
      <c r="B9" s="556">
        <v>2</v>
      </c>
      <c r="C9" t="s">
        <v>1501</v>
      </c>
      <c r="D9" s="1075" t="s">
        <v>1515</v>
      </c>
      <c r="E9" s="556">
        <f ca="1">VLOOKUP(A9,Data!C:I,7,FALSE)</f>
        <v>0</v>
      </c>
      <c r="F9" s="636" t="str">
        <f t="shared" si="0"/>
        <v>PR.AC-12</v>
      </c>
      <c r="G9" s="636" t="str">
        <f t="shared" ca="1" si="1"/>
        <v>PR.AC-120</v>
      </c>
      <c r="I9" t="s">
        <v>795</v>
      </c>
      <c r="J9" s="566">
        <f>Import!K12</f>
        <v>0</v>
      </c>
      <c r="K9" s="566">
        <f>Import!K13</f>
        <v>0</v>
      </c>
      <c r="L9" s="566">
        <f>Import!K14</f>
        <v>0</v>
      </c>
      <c r="M9" s="566">
        <f>Import!K15</f>
        <v>0</v>
      </c>
      <c r="N9" s="566">
        <f>Import!K16</f>
        <v>0</v>
      </c>
      <c r="P9" s="118">
        <v>0.3</v>
      </c>
      <c r="Q9" s="95">
        <v>0.3</v>
      </c>
      <c r="R9" s="95">
        <v>0.3</v>
      </c>
      <c r="S9" s="106">
        <v>0.1</v>
      </c>
    </row>
    <row r="10" spans="1:22" x14ac:dyDescent="0.25">
      <c r="A10" t="s">
        <v>155</v>
      </c>
      <c r="B10" s="556">
        <v>2</v>
      </c>
      <c r="C10" t="s">
        <v>1501</v>
      </c>
      <c r="D10" s="1075" t="s">
        <v>1618</v>
      </c>
      <c r="E10" s="556">
        <f ca="1">VLOOKUP(A10,Data!C:I,7,FALSE)</f>
        <v>0</v>
      </c>
      <c r="F10" s="636" t="str">
        <f t="shared" si="0"/>
        <v>PR.IP-112</v>
      </c>
      <c r="G10" s="636" t="str">
        <f t="shared" ca="1" si="1"/>
        <v>PR.IP-1120</v>
      </c>
      <c r="I10" t="s">
        <v>1511</v>
      </c>
      <c r="J10" s="566">
        <f>Import!N12</f>
        <v>0</v>
      </c>
      <c r="K10" s="566">
        <f>Import!N13</f>
        <v>0</v>
      </c>
      <c r="L10" s="566">
        <f>Import!N14</f>
        <v>0</v>
      </c>
      <c r="M10" s="566">
        <f>Import!N15</f>
        <v>0</v>
      </c>
      <c r="N10" s="566">
        <f>Import!N16</f>
        <v>0</v>
      </c>
      <c r="P10" s="119">
        <v>0.3</v>
      </c>
      <c r="Q10" s="114">
        <v>0.3</v>
      </c>
      <c r="R10" s="114">
        <v>0.3</v>
      </c>
      <c r="S10" s="115">
        <v>0.1</v>
      </c>
    </row>
    <row r="11" spans="1:22" x14ac:dyDescent="0.25">
      <c r="A11" t="s">
        <v>156</v>
      </c>
      <c r="B11" s="556">
        <v>2</v>
      </c>
      <c r="C11" t="s">
        <v>1501</v>
      </c>
      <c r="D11" s="1075" t="s">
        <v>1515</v>
      </c>
      <c r="E11" s="556">
        <f ca="1">VLOOKUP(A11,Data!C:I,7,FALSE)</f>
        <v>0</v>
      </c>
      <c r="F11" s="636" t="str">
        <f t="shared" si="0"/>
        <v>PR.AC-12</v>
      </c>
      <c r="G11" s="636" t="str">
        <f t="shared" ca="1" si="1"/>
        <v>PR.AC-120</v>
      </c>
    </row>
    <row r="12" spans="1:22" x14ac:dyDescent="0.25">
      <c r="A12" t="s">
        <v>156</v>
      </c>
      <c r="B12" s="556">
        <v>2</v>
      </c>
      <c r="C12" t="s">
        <v>1501</v>
      </c>
      <c r="D12" s="1075" t="s">
        <v>1618</v>
      </c>
      <c r="E12" s="556">
        <f ca="1">VLOOKUP(A12,Data!C:I,7,FALSE)</f>
        <v>0</v>
      </c>
      <c r="F12" s="636" t="str">
        <f t="shared" si="0"/>
        <v>PR.IP-112</v>
      </c>
      <c r="G12" s="636" t="str">
        <f t="shared" ca="1" si="1"/>
        <v>PR.IP-1120</v>
      </c>
    </row>
    <row r="13" spans="1:22" x14ac:dyDescent="0.25">
      <c r="A13" t="s">
        <v>157</v>
      </c>
      <c r="B13" s="556">
        <v>2</v>
      </c>
      <c r="C13" t="s">
        <v>1501</v>
      </c>
      <c r="D13" s="1075" t="s">
        <v>1522</v>
      </c>
      <c r="E13" s="556">
        <f ca="1">VLOOKUP(A13,Data!C:I,7,FALSE)</f>
        <v>0</v>
      </c>
      <c r="F13" s="636" t="str">
        <f t="shared" si="0"/>
        <v>PR.AC-42</v>
      </c>
      <c r="G13" s="636" t="str">
        <f t="shared" ca="1" si="1"/>
        <v>PR.AC-420</v>
      </c>
    </row>
    <row r="14" spans="1:22" x14ac:dyDescent="0.25">
      <c r="A14" t="s">
        <v>2606</v>
      </c>
      <c r="B14" s="556">
        <v>2</v>
      </c>
      <c r="C14" t="s">
        <v>1501</v>
      </c>
      <c r="D14" s="1075" t="s">
        <v>1515</v>
      </c>
      <c r="E14" s="556">
        <f ca="1">VLOOKUP(A14,Data!C:I,7,FALSE)</f>
        <v>0</v>
      </c>
      <c r="F14" s="636" t="str">
        <f t="shared" si="0"/>
        <v>PR.AC-12</v>
      </c>
      <c r="G14" s="636" t="str">
        <f t="shared" ca="1" si="1"/>
        <v>PR.AC-120</v>
      </c>
    </row>
    <row r="15" spans="1:22" x14ac:dyDescent="0.25">
      <c r="A15" t="s">
        <v>2606</v>
      </c>
      <c r="B15" s="556">
        <v>2</v>
      </c>
      <c r="C15" t="s">
        <v>1501</v>
      </c>
      <c r="D15" s="1075" t="s">
        <v>1518</v>
      </c>
      <c r="E15" s="556">
        <f ca="1">VLOOKUP(A15,Data!C:I,7,FALSE)</f>
        <v>0</v>
      </c>
      <c r="F15" s="636" t="str">
        <f t="shared" si="0"/>
        <v>PR.AC-32</v>
      </c>
      <c r="G15" s="636" t="str">
        <f t="shared" ca="1" si="1"/>
        <v>PR.AC-320</v>
      </c>
      <c r="I15" s="101" t="s">
        <v>601</v>
      </c>
      <c r="J15" s="631" t="s">
        <v>446</v>
      </c>
      <c r="K15" s="631" t="s">
        <v>1873</v>
      </c>
      <c r="L15" s="631" t="s">
        <v>1875</v>
      </c>
      <c r="M15" s="631" t="s">
        <v>1874</v>
      </c>
      <c r="N15" s="632">
        <v>1</v>
      </c>
      <c r="O15" s="631" t="s">
        <v>1875</v>
      </c>
      <c r="P15" s="631" t="s">
        <v>1874</v>
      </c>
      <c r="Q15" s="632">
        <v>2</v>
      </c>
      <c r="R15" s="631" t="s">
        <v>1875</v>
      </c>
      <c r="S15" s="631" t="s">
        <v>1874</v>
      </c>
      <c r="T15" s="632">
        <v>3</v>
      </c>
      <c r="U15" s="631" t="s">
        <v>1875</v>
      </c>
      <c r="V15" s="631" t="s">
        <v>1874</v>
      </c>
    </row>
    <row r="16" spans="1:22" x14ac:dyDescent="0.25">
      <c r="A16" t="s">
        <v>2606</v>
      </c>
      <c r="B16" s="556">
        <v>2</v>
      </c>
      <c r="C16" t="s">
        <v>1501</v>
      </c>
      <c r="D16" s="1075" t="s">
        <v>1517</v>
      </c>
      <c r="E16" s="556">
        <f ca="1">VLOOKUP(A16,Data!C:I,7,FALSE)</f>
        <v>0</v>
      </c>
      <c r="F16" s="636" t="str">
        <f t="shared" si="0"/>
        <v>PR.AC-72</v>
      </c>
      <c r="G16" s="636" t="str">
        <f t="shared" ca="1" si="1"/>
        <v>PR.AC-720</v>
      </c>
      <c r="I16" s="1078" t="s">
        <v>1694</v>
      </c>
      <c r="J16" s="1079" t="s">
        <v>1548</v>
      </c>
      <c r="K16" s="637">
        <f ca="1">IF(L16=0,0,M16/L16)</f>
        <v>0</v>
      </c>
      <c r="L16" s="638">
        <f>SUM(O16+R16+U16)</f>
        <v>4</v>
      </c>
      <c r="M16" s="638">
        <f ca="1">SUM(P16+S16+V16)</f>
        <v>0</v>
      </c>
      <c r="N16" s="637">
        <f ca="1">IF(O16=0,0,P16/O16)</f>
        <v>0</v>
      </c>
      <c r="O16" s="638">
        <f t="shared" ref="O16:O47" si="2">COUNTIF($F:$F,CONCATENATE($J16,N$15))</f>
        <v>1</v>
      </c>
      <c r="P16" s="638">
        <f t="shared" ref="P16:P47" ca="1" si="3">COUNTIF($G:$G,CONCATENATE($J16,N$15,1))</f>
        <v>0</v>
      </c>
      <c r="Q16" s="637">
        <f ca="1">IF(R16=0,0,S16/R16)</f>
        <v>0</v>
      </c>
      <c r="R16" s="638">
        <f t="shared" ref="R16:R47" si="4">COUNTIF($F:$F,CONCATENATE($J16,Q$15))</f>
        <v>1</v>
      </c>
      <c r="S16" s="638">
        <f t="shared" ref="S16:S47" ca="1" si="5">COUNTIF($G:$G,CONCATENATE($J16,Q$15,1))</f>
        <v>0</v>
      </c>
      <c r="T16" s="637">
        <f ca="1">IF(U16=0,0,V16/U16)</f>
        <v>0</v>
      </c>
      <c r="U16" s="638">
        <f t="shared" ref="U16:U47" si="6">COUNTIF($F:$F,CONCATENATE($J16,T$15))</f>
        <v>2</v>
      </c>
      <c r="V16" s="638">
        <f t="shared" ref="V16:V47" ca="1" si="7">COUNTIF($G:$G,CONCATENATE($J16,T$15,1))</f>
        <v>0</v>
      </c>
    </row>
    <row r="17" spans="1:22" x14ac:dyDescent="0.25">
      <c r="A17" t="s">
        <v>2607</v>
      </c>
      <c r="B17" s="556">
        <v>3</v>
      </c>
      <c r="C17" t="s">
        <v>1501</v>
      </c>
      <c r="D17" s="1075" t="s">
        <v>1517</v>
      </c>
      <c r="E17" s="556">
        <f ca="1">VLOOKUP(A17,Data!C:I,7,FALSE)</f>
        <v>0</v>
      </c>
      <c r="F17" s="636" t="str">
        <f t="shared" si="0"/>
        <v>PR.AC-73</v>
      </c>
      <c r="G17" s="636" t="str">
        <f t="shared" ca="1" si="1"/>
        <v>PR.AC-730</v>
      </c>
      <c r="I17" s="1078" t="s">
        <v>1694</v>
      </c>
      <c r="J17" s="1079" t="s">
        <v>1549</v>
      </c>
      <c r="K17" s="637">
        <f t="shared" ref="K17:K79" ca="1" si="8">IF(L17=0,0,M17/L17)</f>
        <v>0</v>
      </c>
      <c r="L17" s="638">
        <f t="shared" ref="L17:L79" si="9">SUM(O17+R17+U17)</f>
        <v>4</v>
      </c>
      <c r="M17" s="638">
        <f t="shared" ref="M17:M79" ca="1" si="10">SUM(P17+S17+V17)</f>
        <v>0</v>
      </c>
      <c r="N17" s="637">
        <f t="shared" ref="N17:N79" ca="1" si="11">IF(O17=0,0,P17/O17)</f>
        <v>0</v>
      </c>
      <c r="O17" s="638">
        <f t="shared" si="2"/>
        <v>1</v>
      </c>
      <c r="P17" s="638">
        <f t="shared" ca="1" si="3"/>
        <v>0</v>
      </c>
      <c r="Q17" s="637">
        <f t="shared" ref="Q17:Q79" ca="1" si="12">IF(R17=0,0,S17/R17)</f>
        <v>0</v>
      </c>
      <c r="R17" s="638">
        <f t="shared" si="4"/>
        <v>1</v>
      </c>
      <c r="S17" s="638">
        <f t="shared" ca="1" si="5"/>
        <v>0</v>
      </c>
      <c r="T17" s="637">
        <f t="shared" ref="T17:T79" ca="1" si="13">IF(U17=0,0,V17/U17)</f>
        <v>0</v>
      </c>
      <c r="U17" s="638">
        <f t="shared" si="6"/>
        <v>2</v>
      </c>
      <c r="V17" s="638">
        <f t="shared" ca="1" si="7"/>
        <v>0</v>
      </c>
    </row>
    <row r="18" spans="1:22" x14ac:dyDescent="0.25">
      <c r="A18" t="s">
        <v>2608</v>
      </c>
      <c r="B18" s="556">
        <v>3</v>
      </c>
      <c r="C18" t="s">
        <v>1501</v>
      </c>
      <c r="D18" s="1075" t="s">
        <v>1515</v>
      </c>
      <c r="E18" s="556">
        <f ca="1">VLOOKUP(A18,Data!C:I,7,FALSE)</f>
        <v>0</v>
      </c>
      <c r="F18" s="636" t="str">
        <f t="shared" si="0"/>
        <v>PR.AC-13</v>
      </c>
      <c r="G18" s="636" t="str">
        <f t="shared" ca="1" si="1"/>
        <v>PR.AC-130</v>
      </c>
      <c r="I18" s="1078" t="s">
        <v>1694</v>
      </c>
      <c r="J18" s="1079" t="s">
        <v>1554</v>
      </c>
      <c r="K18" s="637">
        <f t="shared" ca="1" si="8"/>
        <v>0</v>
      </c>
      <c r="L18" s="638">
        <f t="shared" si="9"/>
        <v>1</v>
      </c>
      <c r="M18" s="638">
        <f t="shared" ca="1" si="10"/>
        <v>0</v>
      </c>
      <c r="N18" s="637">
        <f t="shared" si="11"/>
        <v>0</v>
      </c>
      <c r="O18" s="638">
        <f t="shared" si="2"/>
        <v>0</v>
      </c>
      <c r="P18" s="638">
        <f t="shared" ca="1" si="3"/>
        <v>0</v>
      </c>
      <c r="Q18" s="637">
        <f t="shared" ca="1" si="12"/>
        <v>0</v>
      </c>
      <c r="R18" s="638">
        <f t="shared" si="4"/>
        <v>1</v>
      </c>
      <c r="S18" s="638">
        <f t="shared" ca="1" si="5"/>
        <v>0</v>
      </c>
      <c r="T18" s="637">
        <f t="shared" si="13"/>
        <v>0</v>
      </c>
      <c r="U18" s="638">
        <f t="shared" si="6"/>
        <v>0</v>
      </c>
      <c r="V18" s="638">
        <f t="shared" ca="1" si="7"/>
        <v>0</v>
      </c>
    </row>
    <row r="19" spans="1:22" x14ac:dyDescent="0.25">
      <c r="A19" t="s">
        <v>2608</v>
      </c>
      <c r="B19" s="556">
        <v>3</v>
      </c>
      <c r="C19" t="s">
        <v>1501</v>
      </c>
      <c r="D19" s="1075" t="s">
        <v>1618</v>
      </c>
      <c r="E19" s="556">
        <f ca="1">VLOOKUP(A19,Data!C:I,7,FALSE)</f>
        <v>0</v>
      </c>
      <c r="F19" s="636" t="str">
        <f t="shared" si="0"/>
        <v>PR.IP-113</v>
      </c>
      <c r="G19" s="636" t="str">
        <f t="shared" ca="1" si="1"/>
        <v>PR.IP-1130</v>
      </c>
      <c r="I19" s="1078" t="s">
        <v>1694</v>
      </c>
      <c r="J19" s="1079" t="s">
        <v>1560</v>
      </c>
      <c r="K19" s="637">
        <f t="shared" ca="1" si="8"/>
        <v>0</v>
      </c>
      <c r="L19" s="638">
        <f t="shared" si="9"/>
        <v>7</v>
      </c>
      <c r="M19" s="638">
        <f t="shared" ca="1" si="10"/>
        <v>0</v>
      </c>
      <c r="N19" s="637">
        <f t="shared" ca="1" si="11"/>
        <v>0</v>
      </c>
      <c r="O19" s="638">
        <f t="shared" si="2"/>
        <v>2</v>
      </c>
      <c r="P19" s="638">
        <f t="shared" ca="1" si="3"/>
        <v>0</v>
      </c>
      <c r="Q19" s="637">
        <f t="shared" ca="1" si="12"/>
        <v>0</v>
      </c>
      <c r="R19" s="638">
        <f t="shared" si="4"/>
        <v>2</v>
      </c>
      <c r="S19" s="638">
        <f t="shared" ca="1" si="5"/>
        <v>0</v>
      </c>
      <c r="T19" s="637">
        <f t="shared" ca="1" si="13"/>
        <v>0</v>
      </c>
      <c r="U19" s="638">
        <f t="shared" si="6"/>
        <v>3</v>
      </c>
      <c r="V19" s="638">
        <f t="shared" ca="1" si="7"/>
        <v>0</v>
      </c>
    </row>
    <row r="20" spans="1:22" x14ac:dyDescent="0.25">
      <c r="A20" t="s">
        <v>158</v>
      </c>
      <c r="B20" s="556">
        <v>1</v>
      </c>
      <c r="C20" t="s">
        <v>1501</v>
      </c>
      <c r="D20" s="1075" t="s">
        <v>1518</v>
      </c>
      <c r="E20" s="556">
        <f ca="1">VLOOKUP(A20,Data!C:I,7,FALSE)</f>
        <v>0</v>
      </c>
      <c r="F20" s="636" t="str">
        <f t="shared" si="0"/>
        <v>PR.AC-31</v>
      </c>
      <c r="G20" s="636" t="str">
        <f t="shared" ca="1" si="1"/>
        <v>PR.AC-310</v>
      </c>
      <c r="I20" s="1078" t="s">
        <v>1694</v>
      </c>
      <c r="J20" s="1079" t="s">
        <v>1550</v>
      </c>
      <c r="K20" s="637">
        <f t="shared" ca="1" si="8"/>
        <v>0</v>
      </c>
      <c r="L20" s="638">
        <f t="shared" si="9"/>
        <v>5</v>
      </c>
      <c r="M20" s="638">
        <f t="shared" ca="1" si="10"/>
        <v>0</v>
      </c>
      <c r="N20" s="637">
        <f t="shared" si="11"/>
        <v>0</v>
      </c>
      <c r="O20" s="638">
        <f t="shared" si="2"/>
        <v>0</v>
      </c>
      <c r="P20" s="638">
        <f t="shared" ca="1" si="3"/>
        <v>0</v>
      </c>
      <c r="Q20" s="637">
        <f t="shared" ca="1" si="12"/>
        <v>0</v>
      </c>
      <c r="R20" s="638">
        <f t="shared" si="4"/>
        <v>5</v>
      </c>
      <c r="S20" s="638">
        <f t="shared" ca="1" si="5"/>
        <v>0</v>
      </c>
      <c r="T20" s="637">
        <f t="shared" si="13"/>
        <v>0</v>
      </c>
      <c r="U20" s="638">
        <f t="shared" si="6"/>
        <v>0</v>
      </c>
      <c r="V20" s="638">
        <f t="shared" ca="1" si="7"/>
        <v>0</v>
      </c>
    </row>
    <row r="21" spans="1:22" x14ac:dyDescent="0.25">
      <c r="A21" t="s">
        <v>158</v>
      </c>
      <c r="B21" s="556">
        <v>1</v>
      </c>
      <c r="C21" t="s">
        <v>1501</v>
      </c>
      <c r="D21" s="1075" t="s">
        <v>1522</v>
      </c>
      <c r="E21" s="556">
        <f ca="1">VLOOKUP(A21,Data!C:I,7,FALSE)</f>
        <v>0</v>
      </c>
      <c r="F21" s="636" t="str">
        <f t="shared" si="0"/>
        <v>PR.AC-41</v>
      </c>
      <c r="G21" s="636" t="str">
        <f t="shared" ca="1" si="1"/>
        <v>PR.AC-410</v>
      </c>
      <c r="I21" s="1078" t="s">
        <v>1694</v>
      </c>
      <c r="J21" s="1079" t="s">
        <v>1529</v>
      </c>
      <c r="K21" s="637">
        <f t="shared" ca="1" si="8"/>
        <v>0</v>
      </c>
      <c r="L21" s="638">
        <f t="shared" si="9"/>
        <v>17</v>
      </c>
      <c r="M21" s="638">
        <f t="shared" ca="1" si="10"/>
        <v>0</v>
      </c>
      <c r="N21" s="637">
        <f t="shared" ca="1" si="11"/>
        <v>0</v>
      </c>
      <c r="O21" s="638">
        <f t="shared" si="2"/>
        <v>2</v>
      </c>
      <c r="P21" s="638">
        <f t="shared" ca="1" si="3"/>
        <v>0</v>
      </c>
      <c r="Q21" s="637">
        <f t="shared" ca="1" si="12"/>
        <v>0</v>
      </c>
      <c r="R21" s="638">
        <f t="shared" si="4"/>
        <v>5</v>
      </c>
      <c r="S21" s="638">
        <f t="shared" ca="1" si="5"/>
        <v>0</v>
      </c>
      <c r="T21" s="637">
        <f t="shared" ca="1" si="13"/>
        <v>0</v>
      </c>
      <c r="U21" s="638">
        <f t="shared" si="6"/>
        <v>10</v>
      </c>
      <c r="V21" s="638">
        <f t="shared" ca="1" si="7"/>
        <v>0</v>
      </c>
    </row>
    <row r="22" spans="1:22" x14ac:dyDescent="0.25">
      <c r="A22" t="s">
        <v>158</v>
      </c>
      <c r="B22" s="556">
        <v>1</v>
      </c>
      <c r="C22" t="s">
        <v>1501</v>
      </c>
      <c r="D22" s="1075" t="s">
        <v>1516</v>
      </c>
      <c r="E22" s="556">
        <f ca="1">VLOOKUP(A22,Data!C:I,7,FALSE)</f>
        <v>0</v>
      </c>
      <c r="F22" s="636" t="str">
        <f t="shared" si="0"/>
        <v>PR.AC-61</v>
      </c>
      <c r="G22" s="636" t="str">
        <f t="shared" ca="1" si="1"/>
        <v>PR.AC-610</v>
      </c>
      <c r="I22" s="1078" t="s">
        <v>1704</v>
      </c>
      <c r="J22" s="1079" t="s">
        <v>1561</v>
      </c>
      <c r="K22" s="637">
        <f t="shared" ca="1" si="8"/>
        <v>0</v>
      </c>
      <c r="L22" s="638">
        <f t="shared" si="9"/>
        <v>3</v>
      </c>
      <c r="M22" s="638">
        <f t="shared" ca="1" si="10"/>
        <v>0</v>
      </c>
      <c r="N22" s="637">
        <f t="shared" ca="1" si="11"/>
        <v>0</v>
      </c>
      <c r="O22" s="638">
        <f t="shared" si="2"/>
        <v>1</v>
      </c>
      <c r="P22" s="638">
        <f t="shared" ca="1" si="3"/>
        <v>0</v>
      </c>
      <c r="Q22" s="637">
        <f t="shared" ca="1" si="12"/>
        <v>0</v>
      </c>
      <c r="R22" s="638">
        <f t="shared" si="4"/>
        <v>1</v>
      </c>
      <c r="S22" s="638">
        <f t="shared" ca="1" si="5"/>
        <v>0</v>
      </c>
      <c r="T22" s="637">
        <f t="shared" ca="1" si="13"/>
        <v>0</v>
      </c>
      <c r="U22" s="638">
        <f t="shared" si="6"/>
        <v>1</v>
      </c>
      <c r="V22" s="638">
        <f t="shared" ca="1" si="7"/>
        <v>0</v>
      </c>
    </row>
    <row r="23" spans="1:22" x14ac:dyDescent="0.25">
      <c r="A23" t="s">
        <v>158</v>
      </c>
      <c r="B23" s="556">
        <v>1</v>
      </c>
      <c r="C23" t="s">
        <v>1501</v>
      </c>
      <c r="D23" s="1075" t="s">
        <v>1517</v>
      </c>
      <c r="E23" s="556">
        <f ca="1">VLOOKUP(A23,Data!C:I,7,FALSE)</f>
        <v>0</v>
      </c>
      <c r="F23" s="636" t="str">
        <f t="shared" si="0"/>
        <v>PR.AC-71</v>
      </c>
      <c r="G23" s="636" t="str">
        <f t="shared" ca="1" si="1"/>
        <v>PR.AC-710</v>
      </c>
      <c r="I23" s="1078" t="s">
        <v>1704</v>
      </c>
      <c r="J23" s="1079" t="s">
        <v>1559</v>
      </c>
      <c r="K23" s="637">
        <f t="shared" ca="1" si="8"/>
        <v>0</v>
      </c>
      <c r="L23" s="638">
        <f t="shared" si="9"/>
        <v>3</v>
      </c>
      <c r="M23" s="638">
        <f t="shared" ca="1" si="10"/>
        <v>0</v>
      </c>
      <c r="N23" s="637">
        <f t="shared" ca="1" si="11"/>
        <v>0</v>
      </c>
      <c r="O23" s="638">
        <f t="shared" si="2"/>
        <v>1</v>
      </c>
      <c r="P23" s="638">
        <f t="shared" ca="1" si="3"/>
        <v>0</v>
      </c>
      <c r="Q23" s="637">
        <f t="shared" ca="1" si="12"/>
        <v>0</v>
      </c>
      <c r="R23" s="638">
        <f t="shared" si="4"/>
        <v>1</v>
      </c>
      <c r="S23" s="638">
        <f t="shared" ca="1" si="5"/>
        <v>0</v>
      </c>
      <c r="T23" s="637">
        <f t="shared" ca="1" si="13"/>
        <v>0</v>
      </c>
      <c r="U23" s="638">
        <f t="shared" si="6"/>
        <v>1</v>
      </c>
      <c r="V23" s="638">
        <f t="shared" ca="1" si="7"/>
        <v>0</v>
      </c>
    </row>
    <row r="24" spans="1:22" x14ac:dyDescent="0.25">
      <c r="A24" t="s">
        <v>158</v>
      </c>
      <c r="B24" s="556">
        <v>1</v>
      </c>
      <c r="C24" t="s">
        <v>1501</v>
      </c>
      <c r="D24" s="1075" t="s">
        <v>1535</v>
      </c>
      <c r="E24" s="556">
        <f ca="1">VLOOKUP(A24,Data!C:I,7,FALSE)</f>
        <v>0</v>
      </c>
      <c r="F24" s="636" t="str">
        <f t="shared" si="0"/>
        <v>PR.DS-51</v>
      </c>
      <c r="G24" s="636" t="str">
        <f t="shared" ca="1" si="1"/>
        <v>PR.DS-510</v>
      </c>
      <c r="I24" s="1078" t="s">
        <v>1704</v>
      </c>
      <c r="J24" s="1079" t="s">
        <v>1564</v>
      </c>
      <c r="K24" s="637">
        <f t="shared" ca="1" si="8"/>
        <v>0</v>
      </c>
      <c r="L24" s="638">
        <f t="shared" si="9"/>
        <v>3</v>
      </c>
      <c r="M24" s="638">
        <f t="shared" ca="1" si="10"/>
        <v>0</v>
      </c>
      <c r="N24" s="637">
        <f t="shared" ca="1" si="11"/>
        <v>0</v>
      </c>
      <c r="O24" s="638">
        <f t="shared" si="2"/>
        <v>1</v>
      </c>
      <c r="P24" s="638">
        <f t="shared" ca="1" si="3"/>
        <v>0</v>
      </c>
      <c r="Q24" s="637">
        <f t="shared" ca="1" si="12"/>
        <v>0</v>
      </c>
      <c r="R24" s="638">
        <f t="shared" si="4"/>
        <v>2</v>
      </c>
      <c r="S24" s="638">
        <f t="shared" ca="1" si="5"/>
        <v>0</v>
      </c>
      <c r="T24" s="637">
        <f t="shared" si="13"/>
        <v>0</v>
      </c>
      <c r="U24" s="638">
        <f t="shared" si="6"/>
        <v>0</v>
      </c>
      <c r="V24" s="638">
        <f t="shared" ca="1" si="7"/>
        <v>0</v>
      </c>
    </row>
    <row r="25" spans="1:22" x14ac:dyDescent="0.25">
      <c r="A25" t="s">
        <v>159</v>
      </c>
      <c r="B25" s="556">
        <v>1</v>
      </c>
      <c r="C25" t="s">
        <v>1501</v>
      </c>
      <c r="D25" s="1075" t="s">
        <v>1515</v>
      </c>
      <c r="E25" s="556">
        <f ca="1">VLOOKUP(A25,Data!C:I,7,FALSE)</f>
        <v>0</v>
      </c>
      <c r="F25" s="636" t="str">
        <f t="shared" si="0"/>
        <v>PR.AC-11</v>
      </c>
      <c r="G25" s="636" t="str">
        <f t="shared" ca="1" si="1"/>
        <v>PR.AC-110</v>
      </c>
      <c r="I25" s="1078" t="s">
        <v>1704</v>
      </c>
      <c r="J25" s="1079" t="s">
        <v>1551</v>
      </c>
      <c r="K25" s="637">
        <f t="shared" ca="1" si="8"/>
        <v>0</v>
      </c>
      <c r="L25" s="638">
        <f t="shared" si="9"/>
        <v>4</v>
      </c>
      <c r="M25" s="638">
        <f t="shared" ca="1" si="10"/>
        <v>0</v>
      </c>
      <c r="N25" s="637">
        <f t="shared" ca="1" si="11"/>
        <v>0</v>
      </c>
      <c r="O25" s="638">
        <f t="shared" si="2"/>
        <v>1</v>
      </c>
      <c r="P25" s="638">
        <f t="shared" ca="1" si="3"/>
        <v>0</v>
      </c>
      <c r="Q25" s="637">
        <f t="shared" ca="1" si="12"/>
        <v>0</v>
      </c>
      <c r="R25" s="638">
        <f t="shared" si="4"/>
        <v>2</v>
      </c>
      <c r="S25" s="638">
        <f t="shared" ca="1" si="5"/>
        <v>0</v>
      </c>
      <c r="T25" s="637">
        <f t="shared" ca="1" si="13"/>
        <v>0</v>
      </c>
      <c r="U25" s="638">
        <f t="shared" si="6"/>
        <v>1</v>
      </c>
      <c r="V25" s="638">
        <f t="shared" ca="1" si="7"/>
        <v>0</v>
      </c>
    </row>
    <row r="26" spans="1:22" x14ac:dyDescent="0.25">
      <c r="A26" t="s">
        <v>159</v>
      </c>
      <c r="B26" s="556">
        <v>1</v>
      </c>
      <c r="C26" t="s">
        <v>1501</v>
      </c>
      <c r="D26" s="1075" t="s">
        <v>1518</v>
      </c>
      <c r="E26" s="556">
        <f ca="1">VLOOKUP(A26,Data!C:I,7,FALSE)</f>
        <v>0</v>
      </c>
      <c r="F26" s="636" t="str">
        <f t="shared" si="0"/>
        <v>PR.AC-31</v>
      </c>
      <c r="G26" s="636" t="str">
        <f t="shared" ca="1" si="1"/>
        <v>PR.AC-310</v>
      </c>
      <c r="I26" s="1078" t="s">
        <v>1704</v>
      </c>
      <c r="J26" s="1079" t="s">
        <v>1568</v>
      </c>
      <c r="K26" s="637">
        <f t="shared" ca="1" si="8"/>
        <v>0</v>
      </c>
      <c r="L26" s="638">
        <f t="shared" si="9"/>
        <v>7</v>
      </c>
      <c r="M26" s="638">
        <f t="shared" ca="1" si="10"/>
        <v>0</v>
      </c>
      <c r="N26" s="637">
        <f t="shared" ca="1" si="11"/>
        <v>0</v>
      </c>
      <c r="O26" s="638">
        <f t="shared" si="2"/>
        <v>1</v>
      </c>
      <c r="P26" s="638">
        <f t="shared" ca="1" si="3"/>
        <v>0</v>
      </c>
      <c r="Q26" s="637">
        <f t="shared" ca="1" si="12"/>
        <v>0</v>
      </c>
      <c r="R26" s="638">
        <f t="shared" si="4"/>
        <v>4</v>
      </c>
      <c r="S26" s="638">
        <f t="shared" ca="1" si="5"/>
        <v>0</v>
      </c>
      <c r="T26" s="637">
        <f t="shared" ca="1" si="13"/>
        <v>0</v>
      </c>
      <c r="U26" s="638">
        <f t="shared" si="6"/>
        <v>2</v>
      </c>
      <c r="V26" s="638">
        <f t="shared" ca="1" si="7"/>
        <v>0</v>
      </c>
    </row>
    <row r="27" spans="1:22" x14ac:dyDescent="0.25">
      <c r="A27" t="s">
        <v>159</v>
      </c>
      <c r="B27" s="556">
        <v>1</v>
      </c>
      <c r="C27" t="s">
        <v>1501</v>
      </c>
      <c r="D27" s="1075" t="s">
        <v>1522</v>
      </c>
      <c r="E27" s="556">
        <f ca="1">VLOOKUP(A27,Data!C:I,7,FALSE)</f>
        <v>0</v>
      </c>
      <c r="F27" s="636" t="str">
        <f t="shared" si="0"/>
        <v>PR.AC-41</v>
      </c>
      <c r="G27" s="636" t="str">
        <f t="shared" ca="1" si="1"/>
        <v>PR.AC-410</v>
      </c>
      <c r="I27" s="1078" t="s">
        <v>1712</v>
      </c>
      <c r="J27" s="1079" t="s">
        <v>1562</v>
      </c>
      <c r="K27" s="637">
        <f t="shared" ca="1" si="8"/>
        <v>0</v>
      </c>
      <c r="L27" s="638">
        <f t="shared" si="9"/>
        <v>28</v>
      </c>
      <c r="M27" s="638">
        <f t="shared" ca="1" si="10"/>
        <v>0</v>
      </c>
      <c r="N27" s="637">
        <f t="shared" si="11"/>
        <v>0</v>
      </c>
      <c r="O27" s="638">
        <f t="shared" si="2"/>
        <v>0</v>
      </c>
      <c r="P27" s="638">
        <f t="shared" ca="1" si="3"/>
        <v>0</v>
      </c>
      <c r="Q27" s="637">
        <f t="shared" ca="1" si="12"/>
        <v>0</v>
      </c>
      <c r="R27" s="638">
        <f t="shared" si="4"/>
        <v>7</v>
      </c>
      <c r="S27" s="638">
        <f t="shared" ca="1" si="5"/>
        <v>0</v>
      </c>
      <c r="T27" s="637">
        <f t="shared" ca="1" si="13"/>
        <v>0</v>
      </c>
      <c r="U27" s="638">
        <f t="shared" si="6"/>
        <v>21</v>
      </c>
      <c r="V27" s="638">
        <f t="shared" ca="1" si="7"/>
        <v>0</v>
      </c>
    </row>
    <row r="28" spans="1:22" x14ac:dyDescent="0.25">
      <c r="A28" t="s">
        <v>159</v>
      </c>
      <c r="B28" s="556">
        <v>1</v>
      </c>
      <c r="C28" t="s">
        <v>1501</v>
      </c>
      <c r="D28" s="1075" t="s">
        <v>1618</v>
      </c>
      <c r="E28" s="556">
        <f ca="1">VLOOKUP(A28,Data!C:I,7,FALSE)</f>
        <v>0</v>
      </c>
      <c r="F28" s="636" t="str">
        <f t="shared" si="0"/>
        <v>PR.IP-111</v>
      </c>
      <c r="G28" s="636" t="str">
        <f t="shared" ca="1" si="1"/>
        <v>PR.IP-1110</v>
      </c>
      <c r="I28" s="1078" t="s">
        <v>1712</v>
      </c>
      <c r="J28" s="1079" t="s">
        <v>1530</v>
      </c>
      <c r="K28" s="637">
        <f t="shared" ca="1" si="8"/>
        <v>0</v>
      </c>
      <c r="L28" s="638">
        <f t="shared" si="9"/>
        <v>16</v>
      </c>
      <c r="M28" s="638">
        <f t="shared" ca="1" si="10"/>
        <v>0</v>
      </c>
      <c r="N28" s="637">
        <f t="shared" ca="1" si="11"/>
        <v>0</v>
      </c>
      <c r="O28" s="638">
        <f t="shared" si="2"/>
        <v>1</v>
      </c>
      <c r="P28" s="638">
        <f t="shared" ca="1" si="3"/>
        <v>0</v>
      </c>
      <c r="Q28" s="637">
        <f t="shared" ca="1" si="12"/>
        <v>0</v>
      </c>
      <c r="R28" s="638">
        <f t="shared" si="4"/>
        <v>4</v>
      </c>
      <c r="S28" s="638">
        <f t="shared" ca="1" si="5"/>
        <v>0</v>
      </c>
      <c r="T28" s="637">
        <f t="shared" ca="1" si="13"/>
        <v>0</v>
      </c>
      <c r="U28" s="638">
        <f t="shared" si="6"/>
        <v>11</v>
      </c>
      <c r="V28" s="638">
        <f t="shared" ca="1" si="7"/>
        <v>0</v>
      </c>
    </row>
    <row r="29" spans="1:22" x14ac:dyDescent="0.25">
      <c r="A29" t="s">
        <v>160</v>
      </c>
      <c r="B29" s="556">
        <v>2</v>
      </c>
      <c r="C29" t="s">
        <v>1501</v>
      </c>
      <c r="D29" s="1075" t="s">
        <v>1518</v>
      </c>
      <c r="E29" s="556">
        <f ca="1">VLOOKUP(A29,Data!C:I,7,FALSE)</f>
        <v>0</v>
      </c>
      <c r="F29" s="636" t="str">
        <f t="shared" si="0"/>
        <v>PR.AC-32</v>
      </c>
      <c r="G29" s="636" t="str">
        <f t="shared" ca="1" si="1"/>
        <v>PR.AC-320</v>
      </c>
      <c r="I29" s="1078" t="s">
        <v>1712</v>
      </c>
      <c r="J29" s="1079" t="s">
        <v>1576</v>
      </c>
      <c r="K29" s="637">
        <f t="shared" ca="1" si="8"/>
        <v>0</v>
      </c>
      <c r="L29" s="638">
        <f t="shared" si="9"/>
        <v>27</v>
      </c>
      <c r="M29" s="638">
        <f t="shared" ca="1" si="10"/>
        <v>0</v>
      </c>
      <c r="N29" s="637">
        <f t="shared" ca="1" si="11"/>
        <v>0</v>
      </c>
      <c r="O29" s="638">
        <f t="shared" si="2"/>
        <v>2</v>
      </c>
      <c r="P29" s="638">
        <f t="shared" ca="1" si="3"/>
        <v>0</v>
      </c>
      <c r="Q29" s="637">
        <f t="shared" ca="1" si="12"/>
        <v>0</v>
      </c>
      <c r="R29" s="638">
        <f t="shared" si="4"/>
        <v>4</v>
      </c>
      <c r="S29" s="638">
        <f t="shared" ca="1" si="5"/>
        <v>0</v>
      </c>
      <c r="T29" s="637">
        <f t="shared" ca="1" si="13"/>
        <v>0</v>
      </c>
      <c r="U29" s="638">
        <f t="shared" si="6"/>
        <v>21</v>
      </c>
      <c r="V29" s="638">
        <f t="shared" ca="1" si="7"/>
        <v>0</v>
      </c>
    </row>
    <row r="30" spans="1:22" x14ac:dyDescent="0.25">
      <c r="A30" t="s">
        <v>160</v>
      </c>
      <c r="B30" s="556">
        <v>2</v>
      </c>
      <c r="C30" t="s">
        <v>1501</v>
      </c>
      <c r="D30" s="1075" t="s">
        <v>1522</v>
      </c>
      <c r="E30" s="556">
        <f ca="1">VLOOKUP(A30,Data!C:I,7,FALSE)</f>
        <v>0</v>
      </c>
      <c r="F30" s="636" t="str">
        <f t="shared" si="0"/>
        <v>PR.AC-42</v>
      </c>
      <c r="G30" s="636" t="str">
        <f t="shared" ca="1" si="1"/>
        <v>PR.AC-420</v>
      </c>
      <c r="I30" s="1078" t="s">
        <v>1712</v>
      </c>
      <c r="J30" s="1079" t="s">
        <v>1566</v>
      </c>
      <c r="K30" s="637">
        <f t="shared" ca="1" si="8"/>
        <v>0</v>
      </c>
      <c r="L30" s="638">
        <f t="shared" si="9"/>
        <v>11</v>
      </c>
      <c r="M30" s="638">
        <f t="shared" ca="1" si="10"/>
        <v>0</v>
      </c>
      <c r="N30" s="637">
        <f t="shared" ca="1" si="11"/>
        <v>0</v>
      </c>
      <c r="O30" s="638">
        <f t="shared" si="2"/>
        <v>3</v>
      </c>
      <c r="P30" s="638">
        <f t="shared" ca="1" si="3"/>
        <v>0</v>
      </c>
      <c r="Q30" s="637">
        <f t="shared" ca="1" si="12"/>
        <v>0</v>
      </c>
      <c r="R30" s="638">
        <f t="shared" si="4"/>
        <v>5</v>
      </c>
      <c r="S30" s="638">
        <f t="shared" ca="1" si="5"/>
        <v>0</v>
      </c>
      <c r="T30" s="637">
        <f t="shared" ca="1" si="13"/>
        <v>0</v>
      </c>
      <c r="U30" s="638">
        <f t="shared" si="6"/>
        <v>3</v>
      </c>
      <c r="V30" s="638">
        <f t="shared" ca="1" si="7"/>
        <v>0</v>
      </c>
    </row>
    <row r="31" spans="1:22" x14ac:dyDescent="0.25">
      <c r="A31" t="s">
        <v>160</v>
      </c>
      <c r="B31" s="556">
        <v>2</v>
      </c>
      <c r="C31" t="s">
        <v>1501</v>
      </c>
      <c r="D31" s="1075" t="s">
        <v>1516</v>
      </c>
      <c r="E31" s="556">
        <f ca="1">VLOOKUP(A31,Data!C:I,7,FALSE)</f>
        <v>0</v>
      </c>
      <c r="F31" s="636" t="str">
        <f t="shared" si="0"/>
        <v>PR.AC-62</v>
      </c>
      <c r="G31" s="636" t="str">
        <f t="shared" ca="1" si="1"/>
        <v>PR.AC-620</v>
      </c>
      <c r="I31" s="1078" t="s">
        <v>1719</v>
      </c>
      <c r="J31" s="1079" t="s">
        <v>1609</v>
      </c>
      <c r="K31" s="637">
        <f t="shared" ca="1" si="8"/>
        <v>0</v>
      </c>
      <c r="L31" s="638">
        <f t="shared" si="9"/>
        <v>6</v>
      </c>
      <c r="M31" s="638">
        <f t="shared" ca="1" si="10"/>
        <v>0</v>
      </c>
      <c r="N31" s="637">
        <f t="shared" ca="1" si="11"/>
        <v>0</v>
      </c>
      <c r="O31" s="638">
        <f t="shared" si="2"/>
        <v>3</v>
      </c>
      <c r="P31" s="638">
        <f t="shared" ca="1" si="3"/>
        <v>0</v>
      </c>
      <c r="Q31" s="637">
        <f t="shared" ca="1" si="12"/>
        <v>0</v>
      </c>
      <c r="R31" s="638">
        <f t="shared" si="4"/>
        <v>2</v>
      </c>
      <c r="S31" s="638">
        <f t="shared" ca="1" si="5"/>
        <v>0</v>
      </c>
      <c r="T31" s="637">
        <f t="shared" ca="1" si="13"/>
        <v>0</v>
      </c>
      <c r="U31" s="638">
        <f t="shared" si="6"/>
        <v>1</v>
      </c>
      <c r="V31" s="638">
        <f t="shared" ca="1" si="7"/>
        <v>0</v>
      </c>
    </row>
    <row r="32" spans="1:22" x14ac:dyDescent="0.25">
      <c r="A32" t="s">
        <v>160</v>
      </c>
      <c r="B32" s="556">
        <v>2</v>
      </c>
      <c r="C32" t="s">
        <v>1501</v>
      </c>
      <c r="D32" s="1075" t="s">
        <v>1517</v>
      </c>
      <c r="E32" s="556">
        <f ca="1">VLOOKUP(A32,Data!C:I,7,FALSE)</f>
        <v>0</v>
      </c>
      <c r="F32" s="636" t="str">
        <f t="shared" si="0"/>
        <v>PR.AC-72</v>
      </c>
      <c r="G32" s="636" t="str">
        <f t="shared" ca="1" si="1"/>
        <v>PR.AC-720</v>
      </c>
      <c r="I32" s="1078" t="s">
        <v>1719</v>
      </c>
      <c r="J32" s="1079" t="s">
        <v>1610</v>
      </c>
      <c r="K32" s="637">
        <f t="shared" ca="1" si="8"/>
        <v>0</v>
      </c>
      <c r="L32" s="638">
        <f t="shared" si="9"/>
        <v>9</v>
      </c>
      <c r="M32" s="638">
        <f t="shared" ca="1" si="10"/>
        <v>0</v>
      </c>
      <c r="N32" s="637">
        <f t="shared" ca="1" si="11"/>
        <v>0</v>
      </c>
      <c r="O32" s="638">
        <f t="shared" si="2"/>
        <v>3</v>
      </c>
      <c r="P32" s="638">
        <f t="shared" ca="1" si="3"/>
        <v>0</v>
      </c>
      <c r="Q32" s="637">
        <f t="shared" ca="1" si="12"/>
        <v>0</v>
      </c>
      <c r="R32" s="638">
        <f t="shared" si="4"/>
        <v>1</v>
      </c>
      <c r="S32" s="638">
        <f t="shared" ca="1" si="5"/>
        <v>0</v>
      </c>
      <c r="T32" s="637">
        <f t="shared" ca="1" si="13"/>
        <v>0</v>
      </c>
      <c r="U32" s="638">
        <f t="shared" si="6"/>
        <v>5</v>
      </c>
      <c r="V32" s="638">
        <f t="shared" ca="1" si="7"/>
        <v>0</v>
      </c>
    </row>
    <row r="33" spans="1:22" x14ac:dyDescent="0.25">
      <c r="A33" t="s">
        <v>160</v>
      </c>
      <c r="B33" s="556">
        <v>2</v>
      </c>
      <c r="C33" t="s">
        <v>1501</v>
      </c>
      <c r="D33" s="1075" t="s">
        <v>1521</v>
      </c>
      <c r="E33" s="556">
        <f ca="1">VLOOKUP(A33,Data!C:I,7,FALSE)</f>
        <v>0</v>
      </c>
      <c r="F33" s="636" t="str">
        <f t="shared" si="0"/>
        <v>PR.MA-22</v>
      </c>
      <c r="G33" s="636" t="str">
        <f t="shared" ca="1" si="1"/>
        <v>PR.MA-220</v>
      </c>
      <c r="I33" s="1078" t="s">
        <v>1719</v>
      </c>
      <c r="J33" s="1079" t="s">
        <v>1612</v>
      </c>
      <c r="K33" s="637">
        <f t="shared" ca="1" si="8"/>
        <v>0</v>
      </c>
      <c r="L33" s="638">
        <f t="shared" si="9"/>
        <v>6</v>
      </c>
      <c r="M33" s="638">
        <f t="shared" ca="1" si="10"/>
        <v>0</v>
      </c>
      <c r="N33" s="637">
        <f t="shared" ca="1" si="11"/>
        <v>0</v>
      </c>
      <c r="O33" s="638">
        <f t="shared" si="2"/>
        <v>3</v>
      </c>
      <c r="P33" s="638">
        <f t="shared" ca="1" si="3"/>
        <v>0</v>
      </c>
      <c r="Q33" s="637">
        <f t="shared" ca="1" si="12"/>
        <v>0</v>
      </c>
      <c r="R33" s="638">
        <f t="shared" si="4"/>
        <v>1</v>
      </c>
      <c r="S33" s="638">
        <f t="shared" ca="1" si="5"/>
        <v>0</v>
      </c>
      <c r="T33" s="637">
        <f t="shared" ca="1" si="13"/>
        <v>0</v>
      </c>
      <c r="U33" s="638">
        <f t="shared" si="6"/>
        <v>2</v>
      </c>
      <c r="V33" s="638">
        <f t="shared" ca="1" si="7"/>
        <v>0</v>
      </c>
    </row>
    <row r="34" spans="1:22" x14ac:dyDescent="0.25">
      <c r="A34" t="s">
        <v>161</v>
      </c>
      <c r="B34" s="556">
        <v>2</v>
      </c>
      <c r="C34" t="s">
        <v>1501</v>
      </c>
      <c r="D34" s="1075" t="s">
        <v>1522</v>
      </c>
      <c r="E34" s="556">
        <f ca="1">VLOOKUP(A34,Data!C:I,7,FALSE)</f>
        <v>0</v>
      </c>
      <c r="F34" s="636" t="str">
        <f t="shared" si="0"/>
        <v>PR.AC-42</v>
      </c>
      <c r="G34" s="636" t="str">
        <f t="shared" ca="1" si="1"/>
        <v>PR.AC-420</v>
      </c>
      <c r="I34" s="1078" t="s">
        <v>1719</v>
      </c>
      <c r="J34" s="1079" t="s">
        <v>1613</v>
      </c>
      <c r="K34" s="637">
        <f t="shared" ca="1" si="8"/>
        <v>0</v>
      </c>
      <c r="L34" s="638">
        <f t="shared" si="9"/>
        <v>6</v>
      </c>
      <c r="M34" s="638">
        <f t="shared" ca="1" si="10"/>
        <v>0</v>
      </c>
      <c r="N34" s="637">
        <f t="shared" ca="1" si="11"/>
        <v>0</v>
      </c>
      <c r="O34" s="638">
        <f t="shared" si="2"/>
        <v>1</v>
      </c>
      <c r="P34" s="638">
        <f t="shared" ca="1" si="3"/>
        <v>0</v>
      </c>
      <c r="Q34" s="637">
        <f t="shared" ca="1" si="12"/>
        <v>0</v>
      </c>
      <c r="R34" s="638">
        <f t="shared" si="4"/>
        <v>5</v>
      </c>
      <c r="S34" s="638">
        <f t="shared" ca="1" si="5"/>
        <v>0</v>
      </c>
      <c r="T34" s="637">
        <f t="shared" si="13"/>
        <v>0</v>
      </c>
      <c r="U34" s="638">
        <f t="shared" si="6"/>
        <v>0</v>
      </c>
      <c r="V34" s="638">
        <f t="shared" ca="1" si="7"/>
        <v>0</v>
      </c>
    </row>
    <row r="35" spans="1:22" x14ac:dyDescent="0.25">
      <c r="A35" t="s">
        <v>162</v>
      </c>
      <c r="B35" s="556">
        <v>2</v>
      </c>
      <c r="C35" t="s">
        <v>1501</v>
      </c>
      <c r="D35" s="1075" t="s">
        <v>1522</v>
      </c>
      <c r="E35" s="556">
        <f ca="1">VLOOKUP(A35,Data!C:I,7,FALSE)</f>
        <v>0</v>
      </c>
      <c r="F35" s="636" t="str">
        <f t="shared" si="0"/>
        <v>PR.AC-42</v>
      </c>
      <c r="G35" s="636" t="str">
        <f t="shared" ca="1" si="1"/>
        <v>PR.AC-420</v>
      </c>
      <c r="I35" s="1078" t="s">
        <v>1719</v>
      </c>
      <c r="J35" s="1079" t="s">
        <v>1552</v>
      </c>
      <c r="K35" s="637">
        <f t="shared" ca="1" si="8"/>
        <v>0</v>
      </c>
      <c r="L35" s="638">
        <f t="shared" si="9"/>
        <v>10</v>
      </c>
      <c r="M35" s="638">
        <f t="shared" ca="1" si="10"/>
        <v>0</v>
      </c>
      <c r="N35" s="637">
        <f t="shared" ca="1" si="11"/>
        <v>0</v>
      </c>
      <c r="O35" s="638">
        <f t="shared" si="2"/>
        <v>2</v>
      </c>
      <c r="P35" s="638">
        <f t="shared" ca="1" si="3"/>
        <v>0</v>
      </c>
      <c r="Q35" s="637">
        <f t="shared" ca="1" si="12"/>
        <v>0</v>
      </c>
      <c r="R35" s="638">
        <f t="shared" si="4"/>
        <v>5</v>
      </c>
      <c r="S35" s="638">
        <f t="shared" ca="1" si="5"/>
        <v>0</v>
      </c>
      <c r="T35" s="637">
        <f t="shared" ca="1" si="13"/>
        <v>0</v>
      </c>
      <c r="U35" s="638">
        <f t="shared" si="6"/>
        <v>3</v>
      </c>
      <c r="V35" s="638">
        <f t="shared" ca="1" si="7"/>
        <v>0</v>
      </c>
    </row>
    <row r="36" spans="1:22" x14ac:dyDescent="0.25">
      <c r="A36" t="s">
        <v>163</v>
      </c>
      <c r="B36" s="556">
        <v>2</v>
      </c>
      <c r="C36" t="s">
        <v>1501</v>
      </c>
      <c r="D36" s="1075" t="s">
        <v>1522</v>
      </c>
      <c r="E36" s="556">
        <f ca="1">VLOOKUP(A36,Data!C:I,7,FALSE)</f>
        <v>0</v>
      </c>
      <c r="F36" s="636" t="str">
        <f t="shared" si="0"/>
        <v>PR.AC-42</v>
      </c>
      <c r="G36" s="636" t="str">
        <f t="shared" ca="1" si="1"/>
        <v>PR.AC-420</v>
      </c>
      <c r="I36" s="1078" t="s">
        <v>1719</v>
      </c>
      <c r="J36" s="1079" t="s">
        <v>1602</v>
      </c>
      <c r="K36" s="637">
        <f t="shared" ca="1" si="8"/>
        <v>0</v>
      </c>
      <c r="L36" s="638">
        <f t="shared" si="9"/>
        <v>2</v>
      </c>
      <c r="M36" s="638">
        <f t="shared" ca="1" si="10"/>
        <v>0</v>
      </c>
      <c r="N36" s="637">
        <f t="shared" ca="1" si="11"/>
        <v>0</v>
      </c>
      <c r="O36" s="638">
        <f t="shared" si="2"/>
        <v>1</v>
      </c>
      <c r="P36" s="638">
        <f t="shared" ca="1" si="3"/>
        <v>0</v>
      </c>
      <c r="Q36" s="637">
        <f t="shared" ca="1" si="12"/>
        <v>0</v>
      </c>
      <c r="R36" s="638">
        <f t="shared" si="4"/>
        <v>1</v>
      </c>
      <c r="S36" s="638">
        <f t="shared" ca="1" si="5"/>
        <v>0</v>
      </c>
      <c r="T36" s="637">
        <f t="shared" si="13"/>
        <v>0</v>
      </c>
      <c r="U36" s="638">
        <f t="shared" si="6"/>
        <v>0</v>
      </c>
      <c r="V36" s="638">
        <f t="shared" ca="1" si="7"/>
        <v>0</v>
      </c>
    </row>
    <row r="37" spans="1:22" x14ac:dyDescent="0.25">
      <c r="A37" t="s">
        <v>164</v>
      </c>
      <c r="B37" s="556">
        <v>2</v>
      </c>
      <c r="C37" t="s">
        <v>1501</v>
      </c>
      <c r="D37" s="1075" t="s">
        <v>1518</v>
      </c>
      <c r="E37" s="556">
        <f ca="1">VLOOKUP(A37,Data!C:I,7,FALSE)</f>
        <v>0</v>
      </c>
      <c r="F37" s="636" t="str">
        <f t="shared" si="0"/>
        <v>PR.AC-32</v>
      </c>
      <c r="G37" s="636" t="str">
        <f t="shared" ca="1" si="1"/>
        <v>PR.AC-320</v>
      </c>
      <c r="I37" s="1078" t="s">
        <v>1728</v>
      </c>
      <c r="J37" s="1079" t="s">
        <v>1567</v>
      </c>
      <c r="K37" s="637">
        <f t="shared" ca="1" si="8"/>
        <v>0</v>
      </c>
      <c r="L37" s="638">
        <f t="shared" si="9"/>
        <v>13</v>
      </c>
      <c r="M37" s="638">
        <f t="shared" ca="1" si="10"/>
        <v>0</v>
      </c>
      <c r="N37" s="637">
        <f t="shared" ca="1" si="11"/>
        <v>0</v>
      </c>
      <c r="O37" s="638">
        <f t="shared" si="2"/>
        <v>1</v>
      </c>
      <c r="P37" s="638">
        <f t="shared" ca="1" si="3"/>
        <v>0</v>
      </c>
      <c r="Q37" s="637">
        <f t="shared" ca="1" si="12"/>
        <v>0</v>
      </c>
      <c r="R37" s="638">
        <f t="shared" si="4"/>
        <v>10</v>
      </c>
      <c r="S37" s="638">
        <f t="shared" ca="1" si="5"/>
        <v>0</v>
      </c>
      <c r="T37" s="637">
        <f t="shared" ca="1" si="13"/>
        <v>0</v>
      </c>
      <c r="U37" s="638">
        <f t="shared" si="6"/>
        <v>2</v>
      </c>
      <c r="V37" s="638">
        <f t="shared" ca="1" si="7"/>
        <v>0</v>
      </c>
    </row>
    <row r="38" spans="1:22" x14ac:dyDescent="0.25">
      <c r="A38" t="s">
        <v>164</v>
      </c>
      <c r="B38" s="556">
        <v>2</v>
      </c>
      <c r="C38" t="s">
        <v>1501</v>
      </c>
      <c r="D38" s="1075" t="s">
        <v>1522</v>
      </c>
      <c r="E38" s="556">
        <f ca="1">VLOOKUP(A38,Data!C:I,7,FALSE)</f>
        <v>0</v>
      </c>
      <c r="F38" s="636" t="str">
        <f t="shared" si="0"/>
        <v>PR.AC-42</v>
      </c>
      <c r="G38" s="636" t="str">
        <f t="shared" ca="1" si="1"/>
        <v>PR.AC-420</v>
      </c>
      <c r="I38" s="1078" t="s">
        <v>1728</v>
      </c>
      <c r="J38" s="1079" t="s">
        <v>1604</v>
      </c>
      <c r="K38" s="637">
        <f t="shared" ca="1" si="8"/>
        <v>0</v>
      </c>
      <c r="L38" s="638">
        <f t="shared" si="9"/>
        <v>4</v>
      </c>
      <c r="M38" s="638">
        <f t="shared" ca="1" si="10"/>
        <v>0</v>
      </c>
      <c r="N38" s="637">
        <f t="shared" ca="1" si="11"/>
        <v>0</v>
      </c>
      <c r="O38" s="638">
        <f t="shared" si="2"/>
        <v>1</v>
      </c>
      <c r="P38" s="638">
        <f t="shared" ca="1" si="3"/>
        <v>0</v>
      </c>
      <c r="Q38" s="637">
        <f t="shared" ca="1" si="12"/>
        <v>0</v>
      </c>
      <c r="R38" s="638">
        <f t="shared" si="4"/>
        <v>3</v>
      </c>
      <c r="S38" s="638">
        <f t="shared" ca="1" si="5"/>
        <v>0</v>
      </c>
      <c r="T38" s="637">
        <f t="shared" si="13"/>
        <v>0</v>
      </c>
      <c r="U38" s="638">
        <f t="shared" si="6"/>
        <v>0</v>
      </c>
      <c r="V38" s="638">
        <f t="shared" ca="1" si="7"/>
        <v>0</v>
      </c>
    </row>
    <row r="39" spans="1:22" x14ac:dyDescent="0.25">
      <c r="A39" t="s">
        <v>164</v>
      </c>
      <c r="B39" s="556">
        <v>2</v>
      </c>
      <c r="C39" t="s">
        <v>1501</v>
      </c>
      <c r="D39" s="1075" t="s">
        <v>1521</v>
      </c>
      <c r="E39" s="556">
        <f ca="1">VLOOKUP(A39,Data!C:I,7,FALSE)</f>
        <v>0</v>
      </c>
      <c r="F39" s="636" t="str">
        <f t="shared" si="0"/>
        <v>PR.MA-22</v>
      </c>
      <c r="G39" s="636" t="str">
        <f t="shared" ca="1" si="1"/>
        <v>PR.MA-220</v>
      </c>
      <c r="I39" s="1078" t="s">
        <v>1728</v>
      </c>
      <c r="J39" s="1079" t="s">
        <v>1733</v>
      </c>
      <c r="K39" s="637">
        <f t="shared" ca="1" si="8"/>
        <v>0</v>
      </c>
      <c r="L39" s="638">
        <f t="shared" si="9"/>
        <v>5</v>
      </c>
      <c r="M39" s="638">
        <f t="shared" ca="1" si="10"/>
        <v>0</v>
      </c>
      <c r="N39" s="637">
        <f t="shared" ca="1" si="11"/>
        <v>0</v>
      </c>
      <c r="O39" s="638">
        <f t="shared" si="2"/>
        <v>1</v>
      </c>
      <c r="P39" s="638">
        <f t="shared" ca="1" si="3"/>
        <v>0</v>
      </c>
      <c r="Q39" s="637">
        <f t="shared" ca="1" si="12"/>
        <v>0</v>
      </c>
      <c r="R39" s="638">
        <f t="shared" si="4"/>
        <v>3</v>
      </c>
      <c r="S39" s="638">
        <f t="shared" ca="1" si="5"/>
        <v>0</v>
      </c>
      <c r="T39" s="637">
        <f t="shared" ca="1" si="13"/>
        <v>0</v>
      </c>
      <c r="U39" s="638">
        <f t="shared" si="6"/>
        <v>1</v>
      </c>
      <c r="V39" s="638">
        <f t="shared" ca="1" si="7"/>
        <v>0</v>
      </c>
    </row>
    <row r="40" spans="1:22" x14ac:dyDescent="0.25">
      <c r="A40" t="s">
        <v>164</v>
      </c>
      <c r="B40" s="556">
        <v>2</v>
      </c>
      <c r="C40" t="s">
        <v>1502</v>
      </c>
      <c r="D40" s="1076" t="s">
        <v>1523</v>
      </c>
      <c r="E40" s="556">
        <f ca="1">VLOOKUP(A40,Data!C:I,7,FALSE)</f>
        <v>0</v>
      </c>
      <c r="F40" s="636" t="str">
        <f t="shared" si="0"/>
        <v>DE.CM-32</v>
      </c>
      <c r="G40" s="636" t="str">
        <f t="shared" ca="1" si="1"/>
        <v>DE.CM-320</v>
      </c>
      <c r="I40" s="1078" t="s">
        <v>1735</v>
      </c>
      <c r="J40" s="1079" t="s">
        <v>1563</v>
      </c>
      <c r="K40" s="637">
        <f t="shared" ca="1" si="8"/>
        <v>0</v>
      </c>
      <c r="L40" s="638">
        <f t="shared" si="9"/>
        <v>6</v>
      </c>
      <c r="M40" s="638">
        <f t="shared" ca="1" si="10"/>
        <v>0</v>
      </c>
      <c r="N40" s="637">
        <f t="shared" si="11"/>
        <v>0</v>
      </c>
      <c r="O40" s="638">
        <f t="shared" si="2"/>
        <v>0</v>
      </c>
      <c r="P40" s="638">
        <f t="shared" ca="1" si="3"/>
        <v>0</v>
      </c>
      <c r="Q40" s="637">
        <f t="shared" ca="1" si="12"/>
        <v>0</v>
      </c>
      <c r="R40" s="638">
        <f t="shared" si="4"/>
        <v>3</v>
      </c>
      <c r="S40" s="638">
        <f t="shared" ca="1" si="5"/>
        <v>0</v>
      </c>
      <c r="T40" s="637">
        <f t="shared" ca="1" si="13"/>
        <v>0</v>
      </c>
      <c r="U40" s="638">
        <f t="shared" si="6"/>
        <v>3</v>
      </c>
      <c r="V40" s="638">
        <f t="shared" ca="1" si="7"/>
        <v>0</v>
      </c>
    </row>
    <row r="41" spans="1:22" x14ac:dyDescent="0.25">
      <c r="A41" t="s">
        <v>164</v>
      </c>
      <c r="B41" s="556">
        <v>2</v>
      </c>
      <c r="C41" t="s">
        <v>1502</v>
      </c>
      <c r="D41" s="1076" t="s">
        <v>1524</v>
      </c>
      <c r="E41" s="556">
        <f ca="1">VLOOKUP(A41,Data!C:I,7,FALSE)</f>
        <v>0</v>
      </c>
      <c r="F41" s="636" t="str">
        <f t="shared" si="0"/>
        <v>DE.CM-62</v>
      </c>
      <c r="G41" s="636" t="str">
        <f t="shared" ca="1" si="1"/>
        <v>DE.CM-620</v>
      </c>
      <c r="I41" s="1078" t="s">
        <v>1735</v>
      </c>
      <c r="J41" s="1079" t="s">
        <v>1543</v>
      </c>
      <c r="K41" s="637">
        <f t="shared" ca="1" si="8"/>
        <v>0</v>
      </c>
      <c r="L41" s="638">
        <f t="shared" si="9"/>
        <v>6</v>
      </c>
      <c r="M41" s="638">
        <f t="shared" ca="1" si="10"/>
        <v>0</v>
      </c>
      <c r="N41" s="637">
        <f t="shared" ca="1" si="11"/>
        <v>0</v>
      </c>
      <c r="O41" s="638">
        <f t="shared" si="2"/>
        <v>2</v>
      </c>
      <c r="P41" s="638">
        <f t="shared" ca="1" si="3"/>
        <v>0</v>
      </c>
      <c r="Q41" s="637">
        <f t="shared" ca="1" si="12"/>
        <v>0</v>
      </c>
      <c r="R41" s="638">
        <f t="shared" si="4"/>
        <v>3</v>
      </c>
      <c r="S41" s="638">
        <f t="shared" ca="1" si="5"/>
        <v>0</v>
      </c>
      <c r="T41" s="637">
        <f t="shared" ca="1" si="13"/>
        <v>0</v>
      </c>
      <c r="U41" s="638">
        <f t="shared" si="6"/>
        <v>1</v>
      </c>
      <c r="V41" s="638">
        <f t="shared" ca="1" si="7"/>
        <v>0</v>
      </c>
    </row>
    <row r="42" spans="1:22" x14ac:dyDescent="0.25">
      <c r="A42" t="s">
        <v>164</v>
      </c>
      <c r="B42" s="556">
        <v>2</v>
      </c>
      <c r="C42" t="s">
        <v>1502</v>
      </c>
      <c r="D42" s="1076" t="s">
        <v>1525</v>
      </c>
      <c r="E42" s="556">
        <f ca="1">VLOOKUP(A42,Data!C:I,7,FALSE)</f>
        <v>0</v>
      </c>
      <c r="F42" s="636" t="str">
        <f t="shared" si="0"/>
        <v>DE.CM-72</v>
      </c>
      <c r="G42" s="636" t="str">
        <f t="shared" ca="1" si="1"/>
        <v>DE.CM-720</v>
      </c>
      <c r="I42" s="1078" t="s">
        <v>1735</v>
      </c>
      <c r="J42" s="1079" t="s">
        <v>1607</v>
      </c>
      <c r="K42" s="637">
        <f t="shared" ca="1" si="8"/>
        <v>0</v>
      </c>
      <c r="L42" s="638">
        <f t="shared" si="9"/>
        <v>2</v>
      </c>
      <c r="M42" s="638">
        <f t="shared" ca="1" si="10"/>
        <v>0</v>
      </c>
      <c r="N42" s="637">
        <f t="shared" si="11"/>
        <v>0</v>
      </c>
      <c r="O42" s="638">
        <f t="shared" si="2"/>
        <v>0</v>
      </c>
      <c r="P42" s="638">
        <f t="shared" ca="1" si="3"/>
        <v>0</v>
      </c>
      <c r="Q42" s="637">
        <f t="shared" ca="1" si="12"/>
        <v>0</v>
      </c>
      <c r="R42" s="638">
        <f t="shared" si="4"/>
        <v>1</v>
      </c>
      <c r="S42" s="638">
        <f t="shared" ca="1" si="5"/>
        <v>0</v>
      </c>
      <c r="T42" s="637">
        <f t="shared" ca="1" si="13"/>
        <v>0</v>
      </c>
      <c r="U42" s="638">
        <f t="shared" si="6"/>
        <v>1</v>
      </c>
      <c r="V42" s="638">
        <f t="shared" ca="1" si="7"/>
        <v>0</v>
      </c>
    </row>
    <row r="43" spans="1:22" x14ac:dyDescent="0.25">
      <c r="A43" t="s">
        <v>166</v>
      </c>
      <c r="B43" s="556">
        <v>3</v>
      </c>
      <c r="C43" t="s">
        <v>1501</v>
      </c>
      <c r="D43" s="1075" t="s">
        <v>1522</v>
      </c>
      <c r="E43" s="556">
        <f ca="1">VLOOKUP(A43,Data!C:I,7,FALSE)</f>
        <v>0</v>
      </c>
      <c r="F43" s="636" t="str">
        <f t="shared" si="0"/>
        <v>PR.AC-43</v>
      </c>
      <c r="G43" s="636" t="str">
        <f t="shared" ca="1" si="1"/>
        <v>PR.AC-430</v>
      </c>
      <c r="I43" s="1078" t="s">
        <v>1735</v>
      </c>
      <c r="J43" s="1079" t="s">
        <v>1608</v>
      </c>
      <c r="K43" s="637">
        <f t="shared" ca="1" si="8"/>
        <v>0</v>
      </c>
      <c r="L43" s="638">
        <f t="shared" si="9"/>
        <v>2</v>
      </c>
      <c r="M43" s="638">
        <f t="shared" ca="1" si="10"/>
        <v>0</v>
      </c>
      <c r="N43" s="637">
        <f t="shared" si="11"/>
        <v>0</v>
      </c>
      <c r="O43" s="638">
        <f t="shared" si="2"/>
        <v>0</v>
      </c>
      <c r="P43" s="638">
        <f t="shared" ca="1" si="3"/>
        <v>0</v>
      </c>
      <c r="Q43" s="637">
        <f t="shared" ca="1" si="12"/>
        <v>0</v>
      </c>
      <c r="R43" s="638">
        <f t="shared" si="4"/>
        <v>1</v>
      </c>
      <c r="S43" s="638">
        <f t="shared" ca="1" si="5"/>
        <v>0</v>
      </c>
      <c r="T43" s="637">
        <f t="shared" ca="1" si="13"/>
        <v>0</v>
      </c>
      <c r="U43" s="638">
        <f t="shared" si="6"/>
        <v>1</v>
      </c>
      <c r="V43" s="638">
        <f t="shared" ca="1" si="7"/>
        <v>0</v>
      </c>
    </row>
    <row r="44" spans="1:22" x14ac:dyDescent="0.25">
      <c r="A44" t="s">
        <v>964</v>
      </c>
      <c r="B44" s="556">
        <v>3</v>
      </c>
      <c r="C44" t="s">
        <v>1502</v>
      </c>
      <c r="D44" s="1076" t="s">
        <v>1537</v>
      </c>
      <c r="E44" s="556">
        <f ca="1">VLOOKUP(A44,Data!C:I,7,FALSE)</f>
        <v>0</v>
      </c>
      <c r="F44" s="636" t="str">
        <f t="shared" si="0"/>
        <v>DE.CM-13</v>
      </c>
      <c r="G44" s="636" t="str">
        <f t="shared" ca="1" si="1"/>
        <v>DE.CM-130</v>
      </c>
      <c r="I44" s="1078" t="s">
        <v>1735</v>
      </c>
      <c r="J44" s="1079" t="s">
        <v>1572</v>
      </c>
      <c r="K44" s="637">
        <f t="shared" ca="1" si="8"/>
        <v>0</v>
      </c>
      <c r="L44" s="638">
        <f t="shared" si="9"/>
        <v>5</v>
      </c>
      <c r="M44" s="638">
        <f t="shared" ca="1" si="10"/>
        <v>0</v>
      </c>
      <c r="N44" s="637">
        <f t="shared" si="11"/>
        <v>0</v>
      </c>
      <c r="O44" s="638">
        <f t="shared" si="2"/>
        <v>0</v>
      </c>
      <c r="P44" s="638">
        <f t="shared" ca="1" si="3"/>
        <v>0</v>
      </c>
      <c r="Q44" s="637">
        <f t="shared" ca="1" si="12"/>
        <v>0</v>
      </c>
      <c r="R44" s="638">
        <f t="shared" si="4"/>
        <v>3</v>
      </c>
      <c r="S44" s="638">
        <f t="shared" ca="1" si="5"/>
        <v>0</v>
      </c>
      <c r="T44" s="637">
        <f t="shared" ca="1" si="13"/>
        <v>0</v>
      </c>
      <c r="U44" s="638">
        <f t="shared" si="6"/>
        <v>2</v>
      </c>
      <c r="V44" s="638">
        <f t="shared" ca="1" si="7"/>
        <v>0</v>
      </c>
    </row>
    <row r="45" spans="1:22" x14ac:dyDescent="0.25">
      <c r="A45" t="s">
        <v>964</v>
      </c>
      <c r="B45" s="556">
        <v>3</v>
      </c>
      <c r="C45" t="s">
        <v>1502</v>
      </c>
      <c r="D45" s="1076" t="s">
        <v>1523</v>
      </c>
      <c r="E45" s="556">
        <f ca="1">VLOOKUP(A45,Data!C:I,7,FALSE)</f>
        <v>0</v>
      </c>
      <c r="F45" s="636" t="str">
        <f t="shared" si="0"/>
        <v>DE.CM-33</v>
      </c>
      <c r="G45" s="636" t="str">
        <f t="shared" ca="1" si="1"/>
        <v>DE.CM-330</v>
      </c>
      <c r="I45" s="1078" t="s">
        <v>1743</v>
      </c>
      <c r="J45" s="1075" t="s">
        <v>1515</v>
      </c>
      <c r="K45" s="637">
        <f t="shared" ca="1" si="8"/>
        <v>0</v>
      </c>
      <c r="L45" s="638">
        <f t="shared" si="9"/>
        <v>10</v>
      </c>
      <c r="M45" s="638">
        <f t="shared" ca="1" si="10"/>
        <v>0</v>
      </c>
      <c r="N45" s="637">
        <f t="shared" ca="1" si="11"/>
        <v>0</v>
      </c>
      <c r="O45" s="638">
        <f t="shared" si="2"/>
        <v>5</v>
      </c>
      <c r="P45" s="638">
        <f t="shared" ca="1" si="3"/>
        <v>0</v>
      </c>
      <c r="Q45" s="637">
        <f t="shared" ca="1" si="12"/>
        <v>0</v>
      </c>
      <c r="R45" s="638">
        <f t="shared" si="4"/>
        <v>4</v>
      </c>
      <c r="S45" s="638">
        <f t="shared" ca="1" si="5"/>
        <v>0</v>
      </c>
      <c r="T45" s="637">
        <f t="shared" ca="1" si="13"/>
        <v>0</v>
      </c>
      <c r="U45" s="638">
        <f t="shared" si="6"/>
        <v>1</v>
      </c>
      <c r="V45" s="638">
        <f t="shared" ca="1" si="7"/>
        <v>0</v>
      </c>
    </row>
    <row r="46" spans="1:22" x14ac:dyDescent="0.25">
      <c r="A46" t="s">
        <v>964</v>
      </c>
      <c r="B46" s="556">
        <v>3</v>
      </c>
      <c r="C46" t="s">
        <v>1502</v>
      </c>
      <c r="D46" s="1076" t="s">
        <v>1524</v>
      </c>
      <c r="E46" s="556">
        <f ca="1">VLOOKUP(A46,Data!C:I,7,FALSE)</f>
        <v>0</v>
      </c>
      <c r="F46" s="636" t="str">
        <f t="shared" si="0"/>
        <v>DE.CM-63</v>
      </c>
      <c r="G46" s="636" t="str">
        <f t="shared" ca="1" si="1"/>
        <v>DE.CM-630</v>
      </c>
      <c r="I46" s="1078" t="s">
        <v>1743</v>
      </c>
      <c r="J46" s="1075" t="s">
        <v>1526</v>
      </c>
      <c r="K46" s="637">
        <f t="shared" ca="1" si="8"/>
        <v>0</v>
      </c>
      <c r="L46" s="638">
        <f t="shared" si="9"/>
        <v>14</v>
      </c>
      <c r="M46" s="638">
        <f t="shared" ca="1" si="10"/>
        <v>0</v>
      </c>
      <c r="N46" s="637">
        <f t="shared" ca="1" si="11"/>
        <v>0</v>
      </c>
      <c r="O46" s="638">
        <f t="shared" si="2"/>
        <v>5</v>
      </c>
      <c r="P46" s="638">
        <f t="shared" ca="1" si="3"/>
        <v>0</v>
      </c>
      <c r="Q46" s="637">
        <f t="shared" ca="1" si="12"/>
        <v>0</v>
      </c>
      <c r="R46" s="638">
        <f t="shared" si="4"/>
        <v>7</v>
      </c>
      <c r="S46" s="638">
        <f t="shared" ca="1" si="5"/>
        <v>0</v>
      </c>
      <c r="T46" s="637">
        <f t="shared" ca="1" si="13"/>
        <v>0</v>
      </c>
      <c r="U46" s="638">
        <f t="shared" si="6"/>
        <v>2</v>
      </c>
      <c r="V46" s="638">
        <f t="shared" ca="1" si="7"/>
        <v>0</v>
      </c>
    </row>
    <row r="47" spans="1:22" x14ac:dyDescent="0.25">
      <c r="A47" t="s">
        <v>964</v>
      </c>
      <c r="B47" s="556">
        <v>3</v>
      </c>
      <c r="C47" t="s">
        <v>1502</v>
      </c>
      <c r="D47" s="1076" t="s">
        <v>1525</v>
      </c>
      <c r="E47" s="556">
        <f ca="1">VLOOKUP(A47,Data!C:I,7,FALSE)</f>
        <v>0</v>
      </c>
      <c r="F47" s="636" t="str">
        <f t="shared" si="0"/>
        <v>DE.CM-73</v>
      </c>
      <c r="G47" s="636" t="str">
        <f t="shared" ca="1" si="1"/>
        <v>DE.CM-730</v>
      </c>
      <c r="I47" s="1078" t="s">
        <v>1743</v>
      </c>
      <c r="J47" s="1075" t="s">
        <v>1518</v>
      </c>
      <c r="K47" s="637">
        <f t="shared" ca="1" si="8"/>
        <v>0</v>
      </c>
      <c r="L47" s="638">
        <f t="shared" si="9"/>
        <v>7</v>
      </c>
      <c r="M47" s="638">
        <f t="shared" ca="1" si="10"/>
        <v>0</v>
      </c>
      <c r="N47" s="637">
        <f t="shared" ca="1" si="11"/>
        <v>0</v>
      </c>
      <c r="O47" s="638">
        <f t="shared" si="2"/>
        <v>3</v>
      </c>
      <c r="P47" s="638">
        <f t="shared" ca="1" si="3"/>
        <v>0</v>
      </c>
      <c r="Q47" s="637">
        <f t="shared" ca="1" si="12"/>
        <v>0</v>
      </c>
      <c r="R47" s="638">
        <f t="shared" si="4"/>
        <v>4</v>
      </c>
      <c r="S47" s="638">
        <f t="shared" ca="1" si="5"/>
        <v>0</v>
      </c>
      <c r="T47" s="637">
        <f t="shared" si="13"/>
        <v>0</v>
      </c>
      <c r="U47" s="638">
        <f t="shared" si="6"/>
        <v>0</v>
      </c>
      <c r="V47" s="638">
        <f t="shared" ca="1" si="7"/>
        <v>0</v>
      </c>
    </row>
    <row r="48" spans="1:22" x14ac:dyDescent="0.25">
      <c r="A48" t="s">
        <v>168</v>
      </c>
      <c r="B48" s="556">
        <v>1</v>
      </c>
      <c r="C48" t="s">
        <v>1501</v>
      </c>
      <c r="D48" s="1075" t="s">
        <v>1526</v>
      </c>
      <c r="E48" s="556">
        <f ca="1">VLOOKUP(A48,Data!C:I,7,FALSE)</f>
        <v>0</v>
      </c>
      <c r="F48" s="636" t="str">
        <f t="shared" si="0"/>
        <v>PR.AC-21</v>
      </c>
      <c r="G48" s="636" t="str">
        <f t="shared" ca="1" si="1"/>
        <v>PR.AC-210</v>
      </c>
      <c r="I48" s="1078" t="s">
        <v>1743</v>
      </c>
      <c r="J48" s="1075" t="s">
        <v>1522</v>
      </c>
      <c r="K48" s="637">
        <f t="shared" ca="1" si="8"/>
        <v>0</v>
      </c>
      <c r="L48" s="638">
        <f t="shared" si="9"/>
        <v>16</v>
      </c>
      <c r="M48" s="638">
        <f t="shared" ca="1" si="10"/>
        <v>0</v>
      </c>
      <c r="N48" s="637">
        <f t="shared" ca="1" si="11"/>
        <v>0</v>
      </c>
      <c r="O48" s="638">
        <f t="shared" ref="O48:O79" si="14">COUNTIF($F:$F,CONCATENATE($J48,N$15))</f>
        <v>2</v>
      </c>
      <c r="P48" s="638">
        <f t="shared" ref="P48:P79" ca="1" si="15">COUNTIF($G:$G,CONCATENATE($J48,N$15,1))</f>
        <v>0</v>
      </c>
      <c r="Q48" s="637">
        <f t="shared" ca="1" si="12"/>
        <v>0</v>
      </c>
      <c r="R48" s="638">
        <f t="shared" ref="R48:R79" si="16">COUNTIF($F:$F,CONCATENATE($J48,Q$15))</f>
        <v>12</v>
      </c>
      <c r="S48" s="638">
        <f t="shared" ref="S48:S79" ca="1" si="17">COUNTIF($G:$G,CONCATENATE($J48,Q$15,1))</f>
        <v>0</v>
      </c>
      <c r="T48" s="637">
        <f t="shared" ca="1" si="13"/>
        <v>0</v>
      </c>
      <c r="U48" s="638">
        <f t="shared" ref="U48:U79" si="18">COUNTIF($F:$F,CONCATENATE($J48,T$15))</f>
        <v>2</v>
      </c>
      <c r="V48" s="638">
        <f t="shared" ref="V48:V79" ca="1" si="19">COUNTIF($G:$G,CONCATENATE($J48,T$15,1))</f>
        <v>0</v>
      </c>
    </row>
    <row r="49" spans="1:22" x14ac:dyDescent="0.25">
      <c r="A49" t="s">
        <v>168</v>
      </c>
      <c r="B49" s="556">
        <v>1</v>
      </c>
      <c r="C49" t="s">
        <v>1501</v>
      </c>
      <c r="D49" s="1075" t="s">
        <v>1535</v>
      </c>
      <c r="E49" s="556">
        <f ca="1">VLOOKUP(A49,Data!C:I,7,FALSE)</f>
        <v>0</v>
      </c>
      <c r="F49" s="636" t="str">
        <f t="shared" si="0"/>
        <v>PR.DS-51</v>
      </c>
      <c r="G49" s="636" t="str">
        <f t="shared" ca="1" si="1"/>
        <v>PR.DS-510</v>
      </c>
      <c r="I49" s="1078" t="s">
        <v>1743</v>
      </c>
      <c r="J49" s="1075" t="s">
        <v>1532</v>
      </c>
      <c r="K49" s="637">
        <f t="shared" ca="1" si="8"/>
        <v>0</v>
      </c>
      <c r="L49" s="638">
        <f t="shared" si="9"/>
        <v>10</v>
      </c>
      <c r="M49" s="638">
        <f t="shared" ca="1" si="10"/>
        <v>0</v>
      </c>
      <c r="N49" s="637">
        <f t="shared" ca="1" si="11"/>
        <v>0</v>
      </c>
      <c r="O49" s="638">
        <f t="shared" si="14"/>
        <v>2</v>
      </c>
      <c r="P49" s="638">
        <f t="shared" ca="1" si="15"/>
        <v>0</v>
      </c>
      <c r="Q49" s="637">
        <f t="shared" ca="1" si="12"/>
        <v>0</v>
      </c>
      <c r="R49" s="638">
        <f t="shared" si="16"/>
        <v>4</v>
      </c>
      <c r="S49" s="638">
        <f t="shared" ca="1" si="17"/>
        <v>0</v>
      </c>
      <c r="T49" s="637">
        <f t="shared" ca="1" si="13"/>
        <v>0</v>
      </c>
      <c r="U49" s="638">
        <f t="shared" si="18"/>
        <v>4</v>
      </c>
      <c r="V49" s="638">
        <f t="shared" ca="1" si="19"/>
        <v>0</v>
      </c>
    </row>
    <row r="50" spans="1:22" x14ac:dyDescent="0.25">
      <c r="A50" t="s">
        <v>168</v>
      </c>
      <c r="B50" s="556">
        <v>1</v>
      </c>
      <c r="C50" t="s">
        <v>1501</v>
      </c>
      <c r="D50" s="1075" t="s">
        <v>1558</v>
      </c>
      <c r="E50" s="556">
        <f ca="1">VLOOKUP(A50,Data!C:I,7,FALSE)</f>
        <v>0</v>
      </c>
      <c r="F50" s="636" t="str">
        <f t="shared" si="0"/>
        <v>PR.IP-51</v>
      </c>
      <c r="G50" s="636" t="str">
        <f t="shared" ca="1" si="1"/>
        <v>PR.IP-510</v>
      </c>
      <c r="I50" s="1078" t="s">
        <v>1743</v>
      </c>
      <c r="J50" s="1075" t="s">
        <v>1516</v>
      </c>
      <c r="K50" s="637">
        <f t="shared" ca="1" si="8"/>
        <v>0</v>
      </c>
      <c r="L50" s="638">
        <f t="shared" si="9"/>
        <v>4</v>
      </c>
      <c r="M50" s="638">
        <f t="shared" ca="1" si="10"/>
        <v>0</v>
      </c>
      <c r="N50" s="637">
        <f t="shared" ca="1" si="11"/>
        <v>0</v>
      </c>
      <c r="O50" s="638">
        <f t="shared" si="14"/>
        <v>3</v>
      </c>
      <c r="P50" s="638">
        <f t="shared" ca="1" si="15"/>
        <v>0</v>
      </c>
      <c r="Q50" s="637">
        <f t="shared" ca="1" si="12"/>
        <v>0</v>
      </c>
      <c r="R50" s="638">
        <f t="shared" si="16"/>
        <v>1</v>
      </c>
      <c r="S50" s="638">
        <f t="shared" ca="1" si="17"/>
        <v>0</v>
      </c>
      <c r="T50" s="637">
        <f t="shared" si="13"/>
        <v>0</v>
      </c>
      <c r="U50" s="638">
        <f t="shared" si="18"/>
        <v>0</v>
      </c>
      <c r="V50" s="638">
        <f t="shared" ca="1" si="19"/>
        <v>0</v>
      </c>
    </row>
    <row r="51" spans="1:22" x14ac:dyDescent="0.25">
      <c r="A51" t="s">
        <v>169</v>
      </c>
      <c r="B51" s="556">
        <v>1</v>
      </c>
      <c r="C51" t="s">
        <v>1501</v>
      </c>
      <c r="D51" s="1075" t="s">
        <v>1515</v>
      </c>
      <c r="E51" s="556">
        <f ca="1">VLOOKUP(A51,Data!C:I,7,FALSE)</f>
        <v>0</v>
      </c>
      <c r="F51" s="636" t="str">
        <f t="shared" si="0"/>
        <v>PR.AC-11</v>
      </c>
      <c r="G51" s="636" t="str">
        <f t="shared" ca="1" si="1"/>
        <v>PR.AC-110</v>
      </c>
      <c r="I51" s="1078" t="s">
        <v>1743</v>
      </c>
      <c r="J51" s="1075" t="s">
        <v>1517</v>
      </c>
      <c r="K51" s="637">
        <f t="shared" ca="1" si="8"/>
        <v>0</v>
      </c>
      <c r="L51" s="638">
        <f t="shared" si="9"/>
        <v>6</v>
      </c>
      <c r="M51" s="638">
        <f t="shared" ca="1" si="10"/>
        <v>0</v>
      </c>
      <c r="N51" s="637">
        <f t="shared" ca="1" si="11"/>
        <v>0</v>
      </c>
      <c r="O51" s="638">
        <f t="shared" si="14"/>
        <v>2</v>
      </c>
      <c r="P51" s="638">
        <f t="shared" ca="1" si="15"/>
        <v>0</v>
      </c>
      <c r="Q51" s="637">
        <f t="shared" ca="1" si="12"/>
        <v>0</v>
      </c>
      <c r="R51" s="638">
        <f t="shared" si="16"/>
        <v>2</v>
      </c>
      <c r="S51" s="638">
        <f t="shared" ca="1" si="17"/>
        <v>0</v>
      </c>
      <c r="T51" s="637">
        <f t="shared" ca="1" si="13"/>
        <v>0</v>
      </c>
      <c r="U51" s="638">
        <f t="shared" si="18"/>
        <v>2</v>
      </c>
      <c r="V51" s="638">
        <f t="shared" ca="1" si="19"/>
        <v>0</v>
      </c>
    </row>
    <row r="52" spans="1:22" x14ac:dyDescent="0.25">
      <c r="A52" t="s">
        <v>169</v>
      </c>
      <c r="B52" s="556">
        <v>1</v>
      </c>
      <c r="C52" t="s">
        <v>1501</v>
      </c>
      <c r="D52" s="1075" t="s">
        <v>1526</v>
      </c>
      <c r="E52" s="556">
        <f ca="1">VLOOKUP(A52,Data!C:I,7,FALSE)</f>
        <v>0</v>
      </c>
      <c r="F52" s="636" t="str">
        <f t="shared" si="0"/>
        <v>PR.AC-21</v>
      </c>
      <c r="G52" s="636" t="str">
        <f t="shared" ca="1" si="1"/>
        <v>PR.AC-210</v>
      </c>
      <c r="I52" s="1078" t="s">
        <v>1753</v>
      </c>
      <c r="J52" s="1075" t="s">
        <v>1619</v>
      </c>
      <c r="K52" s="637">
        <f t="shared" ca="1" si="8"/>
        <v>0</v>
      </c>
      <c r="L52" s="638">
        <f t="shared" si="9"/>
        <v>16</v>
      </c>
      <c r="M52" s="638">
        <f t="shared" ca="1" si="10"/>
        <v>0</v>
      </c>
      <c r="N52" s="637">
        <f t="shared" ca="1" si="11"/>
        <v>0</v>
      </c>
      <c r="O52" s="638">
        <f t="shared" si="14"/>
        <v>2</v>
      </c>
      <c r="P52" s="638">
        <f t="shared" ca="1" si="15"/>
        <v>0</v>
      </c>
      <c r="Q52" s="637">
        <f t="shared" ca="1" si="12"/>
        <v>0</v>
      </c>
      <c r="R52" s="638">
        <f t="shared" si="16"/>
        <v>3</v>
      </c>
      <c r="S52" s="638">
        <f t="shared" ca="1" si="17"/>
        <v>0</v>
      </c>
      <c r="T52" s="637">
        <f t="shared" ca="1" si="13"/>
        <v>0</v>
      </c>
      <c r="U52" s="638">
        <f t="shared" si="18"/>
        <v>11</v>
      </c>
      <c r="V52" s="638">
        <f t="shared" ca="1" si="19"/>
        <v>0</v>
      </c>
    </row>
    <row r="53" spans="1:22" x14ac:dyDescent="0.25">
      <c r="A53" t="s">
        <v>169</v>
      </c>
      <c r="B53" s="556">
        <v>1</v>
      </c>
      <c r="C53" t="s">
        <v>1501</v>
      </c>
      <c r="D53" s="1075" t="s">
        <v>1618</v>
      </c>
      <c r="E53" s="556">
        <f ca="1">VLOOKUP(A53,Data!C:I,7,FALSE)</f>
        <v>0</v>
      </c>
      <c r="F53" s="636" t="str">
        <f t="shared" si="0"/>
        <v>PR.IP-111</v>
      </c>
      <c r="G53" s="636" t="str">
        <f t="shared" ca="1" si="1"/>
        <v>PR.IP-1110</v>
      </c>
      <c r="I53" s="1078" t="s">
        <v>1753</v>
      </c>
      <c r="J53" s="1075" t="s">
        <v>1615</v>
      </c>
      <c r="K53" s="637">
        <f t="shared" ca="1" si="8"/>
        <v>0</v>
      </c>
      <c r="L53" s="638">
        <f t="shared" si="9"/>
        <v>15</v>
      </c>
      <c r="M53" s="638">
        <f t="shared" ca="1" si="10"/>
        <v>0</v>
      </c>
      <c r="N53" s="637">
        <f t="shared" ca="1" si="11"/>
        <v>0</v>
      </c>
      <c r="O53" s="638">
        <f t="shared" si="14"/>
        <v>1</v>
      </c>
      <c r="P53" s="638">
        <f t="shared" ca="1" si="15"/>
        <v>0</v>
      </c>
      <c r="Q53" s="637">
        <f t="shared" ca="1" si="12"/>
        <v>0</v>
      </c>
      <c r="R53" s="638">
        <f t="shared" si="16"/>
        <v>4</v>
      </c>
      <c r="S53" s="638">
        <f t="shared" ca="1" si="17"/>
        <v>0</v>
      </c>
      <c r="T53" s="637">
        <f t="shared" ca="1" si="13"/>
        <v>0</v>
      </c>
      <c r="U53" s="638">
        <f t="shared" si="18"/>
        <v>10</v>
      </c>
      <c r="V53" s="638">
        <f t="shared" ca="1" si="19"/>
        <v>0</v>
      </c>
    </row>
    <row r="54" spans="1:22" x14ac:dyDescent="0.25">
      <c r="A54" t="s">
        <v>170</v>
      </c>
      <c r="B54" s="556">
        <v>1</v>
      </c>
      <c r="C54" t="s">
        <v>1501</v>
      </c>
      <c r="D54" s="1075" t="s">
        <v>1526</v>
      </c>
      <c r="E54" s="556">
        <f ca="1">VLOOKUP(A54,Data!C:I,7,FALSE)</f>
        <v>0</v>
      </c>
      <c r="F54" s="636" t="str">
        <f t="shared" si="0"/>
        <v>PR.AC-21</v>
      </c>
      <c r="G54" s="636" t="str">
        <f t="shared" ca="1" si="1"/>
        <v>PR.AC-210</v>
      </c>
      <c r="I54" s="1078" t="s">
        <v>1753</v>
      </c>
      <c r="J54" s="1075" t="s">
        <v>1616</v>
      </c>
      <c r="K54" s="637">
        <f t="shared" ca="1" si="8"/>
        <v>0</v>
      </c>
      <c r="L54" s="638">
        <f t="shared" si="9"/>
        <v>17</v>
      </c>
      <c r="M54" s="638">
        <f t="shared" ca="1" si="10"/>
        <v>0</v>
      </c>
      <c r="N54" s="637">
        <f t="shared" ca="1" si="11"/>
        <v>0</v>
      </c>
      <c r="O54" s="638">
        <f t="shared" si="14"/>
        <v>2</v>
      </c>
      <c r="P54" s="638">
        <f t="shared" ca="1" si="15"/>
        <v>0</v>
      </c>
      <c r="Q54" s="637">
        <f t="shared" ca="1" si="12"/>
        <v>0</v>
      </c>
      <c r="R54" s="638">
        <f t="shared" si="16"/>
        <v>5</v>
      </c>
      <c r="S54" s="638">
        <f t="shared" ca="1" si="17"/>
        <v>0</v>
      </c>
      <c r="T54" s="637">
        <f t="shared" ca="1" si="13"/>
        <v>0</v>
      </c>
      <c r="U54" s="638">
        <f t="shared" si="18"/>
        <v>10</v>
      </c>
      <c r="V54" s="638">
        <f t="shared" ca="1" si="19"/>
        <v>0</v>
      </c>
    </row>
    <row r="55" spans="1:22" x14ac:dyDescent="0.25">
      <c r="A55" t="s">
        <v>170</v>
      </c>
      <c r="B55" s="556">
        <v>1</v>
      </c>
      <c r="C55" t="s">
        <v>1501</v>
      </c>
      <c r="D55" s="1077" t="s">
        <v>1528</v>
      </c>
      <c r="E55" s="556">
        <f ca="1">VLOOKUP(A55,Data!C:I,7,FALSE)</f>
        <v>0</v>
      </c>
      <c r="F55" s="636" t="str">
        <f t="shared" si="0"/>
        <v>PR.PT-11</v>
      </c>
      <c r="G55" s="636" t="str">
        <f t="shared" ca="1" si="1"/>
        <v>PR.PT-110</v>
      </c>
      <c r="I55" s="1078" t="s">
        <v>1753</v>
      </c>
      <c r="J55" s="1075" t="s">
        <v>1565</v>
      </c>
      <c r="K55" s="637">
        <f t="shared" ca="1" si="8"/>
        <v>0</v>
      </c>
      <c r="L55" s="638">
        <f t="shared" si="9"/>
        <v>16</v>
      </c>
      <c r="M55" s="638">
        <f t="shared" ca="1" si="10"/>
        <v>0</v>
      </c>
      <c r="N55" s="637">
        <f t="shared" ca="1" si="11"/>
        <v>0</v>
      </c>
      <c r="O55" s="638">
        <f t="shared" si="14"/>
        <v>1</v>
      </c>
      <c r="P55" s="638">
        <f t="shared" ca="1" si="15"/>
        <v>0</v>
      </c>
      <c r="Q55" s="637">
        <f t="shared" ca="1" si="12"/>
        <v>0</v>
      </c>
      <c r="R55" s="638">
        <f t="shared" si="16"/>
        <v>5</v>
      </c>
      <c r="S55" s="638">
        <f t="shared" ca="1" si="17"/>
        <v>0</v>
      </c>
      <c r="T55" s="637">
        <f t="shared" ca="1" si="13"/>
        <v>0</v>
      </c>
      <c r="U55" s="638">
        <f t="shared" si="18"/>
        <v>10</v>
      </c>
      <c r="V55" s="638">
        <f t="shared" ca="1" si="19"/>
        <v>0</v>
      </c>
    </row>
    <row r="56" spans="1:22" x14ac:dyDescent="0.25">
      <c r="A56" t="s">
        <v>171</v>
      </c>
      <c r="B56" s="556">
        <v>2</v>
      </c>
      <c r="C56" t="s">
        <v>1501</v>
      </c>
      <c r="D56" s="1075" t="s">
        <v>1526</v>
      </c>
      <c r="E56" s="556">
        <f ca="1">VLOOKUP(A56,Data!C:I,7,FALSE)</f>
        <v>0</v>
      </c>
      <c r="F56" s="636" t="str">
        <f t="shared" si="0"/>
        <v>PR.AC-22</v>
      </c>
      <c r="G56" s="636" t="str">
        <f t="shared" ca="1" si="1"/>
        <v>PR.AC-220</v>
      </c>
      <c r="I56" s="1078" t="s">
        <v>1753</v>
      </c>
      <c r="J56" s="1075" t="s">
        <v>1617</v>
      </c>
      <c r="K56" s="637">
        <f t="shared" ca="1" si="8"/>
        <v>0</v>
      </c>
      <c r="L56" s="638">
        <f t="shared" si="9"/>
        <v>15</v>
      </c>
      <c r="M56" s="638">
        <f t="shared" ca="1" si="10"/>
        <v>0</v>
      </c>
      <c r="N56" s="637">
        <f t="shared" ca="1" si="11"/>
        <v>0</v>
      </c>
      <c r="O56" s="638">
        <f t="shared" si="14"/>
        <v>1</v>
      </c>
      <c r="P56" s="638">
        <f t="shared" ca="1" si="15"/>
        <v>0</v>
      </c>
      <c r="Q56" s="637">
        <f t="shared" ca="1" si="12"/>
        <v>0</v>
      </c>
      <c r="R56" s="638">
        <f t="shared" si="16"/>
        <v>4</v>
      </c>
      <c r="S56" s="638">
        <f t="shared" ca="1" si="17"/>
        <v>0</v>
      </c>
      <c r="T56" s="637">
        <f t="shared" ca="1" si="13"/>
        <v>0</v>
      </c>
      <c r="U56" s="638">
        <f t="shared" si="18"/>
        <v>10</v>
      </c>
      <c r="V56" s="638">
        <f t="shared" ca="1" si="19"/>
        <v>0</v>
      </c>
    </row>
    <row r="57" spans="1:22" x14ac:dyDescent="0.25">
      <c r="A57" t="s">
        <v>171</v>
      </c>
      <c r="B57" s="556">
        <v>2</v>
      </c>
      <c r="C57" t="s">
        <v>1501</v>
      </c>
      <c r="D57" s="1075" t="s">
        <v>1558</v>
      </c>
      <c r="E57" s="556">
        <f ca="1">VLOOKUP(A57,Data!C:I,7,FALSE)</f>
        <v>0</v>
      </c>
      <c r="F57" s="636" t="str">
        <f t="shared" si="0"/>
        <v>PR.IP-52</v>
      </c>
      <c r="G57" s="636" t="str">
        <f t="shared" ca="1" si="1"/>
        <v>PR.IP-520</v>
      </c>
      <c r="I57" s="1078" t="s">
        <v>1761</v>
      </c>
      <c r="J57" s="1075" t="s">
        <v>1546</v>
      </c>
      <c r="K57" s="637">
        <f t="shared" ca="1" si="8"/>
        <v>0</v>
      </c>
      <c r="L57" s="638">
        <f t="shared" si="9"/>
        <v>10</v>
      </c>
      <c r="M57" s="638">
        <f t="shared" ca="1" si="10"/>
        <v>0</v>
      </c>
      <c r="N57" s="637">
        <f t="shared" ca="1" si="11"/>
        <v>0</v>
      </c>
      <c r="O57" s="638">
        <f t="shared" si="14"/>
        <v>1</v>
      </c>
      <c r="P57" s="638">
        <f t="shared" ca="1" si="15"/>
        <v>0</v>
      </c>
      <c r="Q57" s="637">
        <f t="shared" ca="1" si="12"/>
        <v>0</v>
      </c>
      <c r="R57" s="638">
        <f t="shared" si="16"/>
        <v>6</v>
      </c>
      <c r="S57" s="638">
        <f t="shared" ca="1" si="17"/>
        <v>0</v>
      </c>
      <c r="T57" s="637">
        <f t="shared" ca="1" si="13"/>
        <v>0</v>
      </c>
      <c r="U57" s="638">
        <f t="shared" si="18"/>
        <v>3</v>
      </c>
      <c r="V57" s="638">
        <f t="shared" ca="1" si="19"/>
        <v>0</v>
      </c>
    </row>
    <row r="58" spans="1:22" x14ac:dyDescent="0.25">
      <c r="A58" t="s">
        <v>172</v>
      </c>
      <c r="B58" s="556">
        <v>2</v>
      </c>
      <c r="C58" t="s">
        <v>1501</v>
      </c>
      <c r="D58" s="1075" t="s">
        <v>1526</v>
      </c>
      <c r="E58" s="556">
        <f ca="1">VLOOKUP(A58,Data!C:I,7,FALSE)</f>
        <v>0</v>
      </c>
      <c r="F58" s="636" t="str">
        <f t="shared" si="0"/>
        <v>PR.AC-22</v>
      </c>
      <c r="G58" s="636" t="str">
        <f t="shared" ca="1" si="1"/>
        <v>PR.AC-220</v>
      </c>
      <c r="I58" s="1078" t="s">
        <v>1761</v>
      </c>
      <c r="J58" s="1075" t="s">
        <v>1547</v>
      </c>
      <c r="K58" s="637">
        <f t="shared" ca="1" si="8"/>
        <v>0</v>
      </c>
      <c r="L58" s="638">
        <f t="shared" si="9"/>
        <v>6</v>
      </c>
      <c r="M58" s="638">
        <f t="shared" ca="1" si="10"/>
        <v>0</v>
      </c>
      <c r="N58" s="637">
        <f t="shared" si="11"/>
        <v>0</v>
      </c>
      <c r="O58" s="638">
        <f t="shared" si="14"/>
        <v>0</v>
      </c>
      <c r="P58" s="638">
        <f t="shared" ca="1" si="15"/>
        <v>0</v>
      </c>
      <c r="Q58" s="637">
        <f t="shared" ca="1" si="12"/>
        <v>0</v>
      </c>
      <c r="R58" s="638">
        <f t="shared" si="16"/>
        <v>4</v>
      </c>
      <c r="S58" s="638">
        <f t="shared" ca="1" si="17"/>
        <v>0</v>
      </c>
      <c r="T58" s="637">
        <f t="shared" ca="1" si="13"/>
        <v>0</v>
      </c>
      <c r="U58" s="638">
        <f t="shared" si="18"/>
        <v>2</v>
      </c>
      <c r="V58" s="638">
        <f t="shared" ca="1" si="19"/>
        <v>0</v>
      </c>
    </row>
    <row r="59" spans="1:22" x14ac:dyDescent="0.25">
      <c r="A59" t="s">
        <v>172</v>
      </c>
      <c r="B59" s="556">
        <v>2</v>
      </c>
      <c r="C59" t="s">
        <v>1501</v>
      </c>
      <c r="D59" s="1077" t="s">
        <v>1522</v>
      </c>
      <c r="E59" s="556">
        <f ca="1">VLOOKUP(A59,Data!C:I,7,FALSE)</f>
        <v>0</v>
      </c>
      <c r="F59" s="636" t="str">
        <f t="shared" si="0"/>
        <v>PR.AC-42</v>
      </c>
      <c r="G59" s="636" t="str">
        <f t="shared" ca="1" si="1"/>
        <v>PR.AC-420</v>
      </c>
      <c r="I59" s="1078" t="s">
        <v>1761</v>
      </c>
      <c r="J59" s="1075" t="s">
        <v>1540</v>
      </c>
      <c r="K59" s="637">
        <f t="shared" ca="1" si="8"/>
        <v>0</v>
      </c>
      <c r="L59" s="638">
        <f t="shared" si="9"/>
        <v>14</v>
      </c>
      <c r="M59" s="638">
        <f t="shared" ca="1" si="10"/>
        <v>0</v>
      </c>
      <c r="N59" s="637">
        <f t="shared" ca="1" si="11"/>
        <v>0</v>
      </c>
      <c r="O59" s="638">
        <f t="shared" si="14"/>
        <v>4</v>
      </c>
      <c r="P59" s="638">
        <f t="shared" ca="1" si="15"/>
        <v>0</v>
      </c>
      <c r="Q59" s="637">
        <f t="shared" ca="1" si="12"/>
        <v>0</v>
      </c>
      <c r="R59" s="638">
        <f t="shared" si="16"/>
        <v>4</v>
      </c>
      <c r="S59" s="638">
        <f t="shared" ca="1" si="17"/>
        <v>0</v>
      </c>
      <c r="T59" s="637">
        <f t="shared" ca="1" si="13"/>
        <v>0</v>
      </c>
      <c r="U59" s="638">
        <f t="shared" si="18"/>
        <v>6</v>
      </c>
      <c r="V59" s="638">
        <f t="shared" ca="1" si="19"/>
        <v>0</v>
      </c>
    </row>
    <row r="60" spans="1:22" x14ac:dyDescent="0.25">
      <c r="A60" t="s">
        <v>173</v>
      </c>
      <c r="B60" s="556">
        <v>2</v>
      </c>
      <c r="C60" t="s">
        <v>1501</v>
      </c>
      <c r="D60" s="1075" t="s">
        <v>1526</v>
      </c>
      <c r="E60" s="556">
        <f ca="1">VLOOKUP(A60,Data!C:I,7,FALSE)</f>
        <v>0</v>
      </c>
      <c r="F60" s="636" t="str">
        <f t="shared" si="0"/>
        <v>PR.AC-22</v>
      </c>
      <c r="G60" s="636" t="str">
        <f t="shared" ca="1" si="1"/>
        <v>PR.AC-220</v>
      </c>
      <c r="I60" s="1078" t="s">
        <v>1761</v>
      </c>
      <c r="J60" s="1075" t="s">
        <v>1534</v>
      </c>
      <c r="K60" s="637">
        <f t="shared" ca="1" si="8"/>
        <v>0</v>
      </c>
      <c r="L60" s="638">
        <f t="shared" si="9"/>
        <v>8</v>
      </c>
      <c r="M60" s="638">
        <f t="shared" ca="1" si="10"/>
        <v>0</v>
      </c>
      <c r="N60" s="637">
        <f t="shared" ca="1" si="11"/>
        <v>0</v>
      </c>
      <c r="O60" s="638">
        <f t="shared" si="14"/>
        <v>3</v>
      </c>
      <c r="P60" s="638">
        <f t="shared" ca="1" si="15"/>
        <v>0</v>
      </c>
      <c r="Q60" s="637">
        <f t="shared" ca="1" si="12"/>
        <v>0</v>
      </c>
      <c r="R60" s="638">
        <f t="shared" si="16"/>
        <v>5</v>
      </c>
      <c r="S60" s="638">
        <f t="shared" ca="1" si="17"/>
        <v>0</v>
      </c>
      <c r="T60" s="637">
        <f t="shared" si="13"/>
        <v>0</v>
      </c>
      <c r="U60" s="638">
        <f t="shared" si="18"/>
        <v>0</v>
      </c>
      <c r="V60" s="638">
        <f t="shared" ca="1" si="19"/>
        <v>0</v>
      </c>
    </row>
    <row r="61" spans="1:22" x14ac:dyDescent="0.25">
      <c r="A61" t="s">
        <v>173</v>
      </c>
      <c r="B61" s="556">
        <v>2</v>
      </c>
      <c r="C61" t="s">
        <v>1501</v>
      </c>
      <c r="D61" s="1077" t="s">
        <v>1522</v>
      </c>
      <c r="E61" s="556">
        <f ca="1">VLOOKUP(A61,Data!C:I,7,FALSE)</f>
        <v>0</v>
      </c>
      <c r="F61" s="636" t="str">
        <f t="shared" si="0"/>
        <v>PR.AC-42</v>
      </c>
      <c r="G61" s="636" t="str">
        <f t="shared" ca="1" si="1"/>
        <v>PR.AC-420</v>
      </c>
      <c r="I61" s="1078" t="s">
        <v>1761</v>
      </c>
      <c r="J61" s="1075" t="s">
        <v>1535</v>
      </c>
      <c r="K61" s="637">
        <f t="shared" ca="1" si="8"/>
        <v>0</v>
      </c>
      <c r="L61" s="638">
        <f t="shared" si="9"/>
        <v>11</v>
      </c>
      <c r="M61" s="638">
        <f t="shared" ca="1" si="10"/>
        <v>0</v>
      </c>
      <c r="N61" s="637">
        <f t="shared" ca="1" si="11"/>
        <v>0</v>
      </c>
      <c r="O61" s="638">
        <f t="shared" si="14"/>
        <v>3</v>
      </c>
      <c r="P61" s="638">
        <f t="shared" ca="1" si="15"/>
        <v>0</v>
      </c>
      <c r="Q61" s="637">
        <f t="shared" ca="1" si="12"/>
        <v>0</v>
      </c>
      <c r="R61" s="638">
        <f t="shared" si="16"/>
        <v>5</v>
      </c>
      <c r="S61" s="638">
        <f t="shared" ca="1" si="17"/>
        <v>0</v>
      </c>
      <c r="T61" s="637">
        <f t="shared" ca="1" si="13"/>
        <v>0</v>
      </c>
      <c r="U61" s="638">
        <f t="shared" si="18"/>
        <v>3</v>
      </c>
      <c r="V61" s="638">
        <f t="shared" ca="1" si="19"/>
        <v>0</v>
      </c>
    </row>
    <row r="62" spans="1:22" x14ac:dyDescent="0.25">
      <c r="A62" t="s">
        <v>173</v>
      </c>
      <c r="B62" s="556">
        <v>2</v>
      </c>
      <c r="C62" t="s">
        <v>1501</v>
      </c>
      <c r="D62" s="1075" t="s">
        <v>1558</v>
      </c>
      <c r="E62" s="556">
        <f ca="1">VLOOKUP(A62,Data!C:I,7,FALSE)</f>
        <v>0</v>
      </c>
      <c r="F62" s="636" t="str">
        <f t="shared" si="0"/>
        <v>PR.IP-52</v>
      </c>
      <c r="G62" s="636" t="str">
        <f t="shared" ca="1" si="1"/>
        <v>PR.IP-520</v>
      </c>
      <c r="I62" s="1078" t="s">
        <v>1761</v>
      </c>
      <c r="J62" s="1075" t="s">
        <v>1538</v>
      </c>
      <c r="K62" s="637">
        <f t="shared" ca="1" si="8"/>
        <v>0</v>
      </c>
      <c r="L62" s="638">
        <f t="shared" si="9"/>
        <v>5</v>
      </c>
      <c r="M62" s="638">
        <f t="shared" ca="1" si="10"/>
        <v>0</v>
      </c>
      <c r="N62" s="637">
        <f t="shared" si="11"/>
        <v>0</v>
      </c>
      <c r="O62" s="638">
        <f t="shared" si="14"/>
        <v>0</v>
      </c>
      <c r="P62" s="638">
        <f t="shared" ca="1" si="15"/>
        <v>0</v>
      </c>
      <c r="Q62" s="637">
        <f t="shared" ca="1" si="12"/>
        <v>0</v>
      </c>
      <c r="R62" s="638">
        <f t="shared" si="16"/>
        <v>1</v>
      </c>
      <c r="S62" s="638">
        <f t="shared" ca="1" si="17"/>
        <v>0</v>
      </c>
      <c r="T62" s="637">
        <f t="shared" ca="1" si="13"/>
        <v>0</v>
      </c>
      <c r="U62" s="638">
        <f t="shared" si="18"/>
        <v>4</v>
      </c>
      <c r="V62" s="638">
        <f t="shared" ca="1" si="19"/>
        <v>0</v>
      </c>
    </row>
    <row r="63" spans="1:22" x14ac:dyDescent="0.25">
      <c r="A63" t="s">
        <v>174</v>
      </c>
      <c r="B63" s="556">
        <v>2</v>
      </c>
      <c r="C63" t="s">
        <v>1501</v>
      </c>
      <c r="D63" s="1075" t="s">
        <v>1526</v>
      </c>
      <c r="E63" s="556">
        <f ca="1">VLOOKUP(A63,Data!C:I,7,FALSE)</f>
        <v>0</v>
      </c>
      <c r="F63" s="636" t="str">
        <f t="shared" si="0"/>
        <v>PR.AC-22</v>
      </c>
      <c r="G63" s="636" t="str">
        <f t="shared" ca="1" si="1"/>
        <v>PR.AC-220</v>
      </c>
      <c r="I63" s="1078" t="s">
        <v>1761</v>
      </c>
      <c r="J63" s="1075" t="s">
        <v>1542</v>
      </c>
      <c r="K63" s="637">
        <f t="shared" ca="1" si="8"/>
        <v>0</v>
      </c>
      <c r="L63" s="638">
        <f t="shared" si="9"/>
        <v>4</v>
      </c>
      <c r="M63" s="638">
        <f t="shared" ca="1" si="10"/>
        <v>0</v>
      </c>
      <c r="N63" s="637">
        <f t="shared" si="11"/>
        <v>0</v>
      </c>
      <c r="O63" s="638">
        <f t="shared" si="14"/>
        <v>0</v>
      </c>
      <c r="P63" s="638">
        <f t="shared" ca="1" si="15"/>
        <v>0</v>
      </c>
      <c r="Q63" s="637">
        <f t="shared" ca="1" si="12"/>
        <v>0</v>
      </c>
      <c r="R63" s="638">
        <f t="shared" si="16"/>
        <v>2</v>
      </c>
      <c r="S63" s="638">
        <f t="shared" ca="1" si="17"/>
        <v>0</v>
      </c>
      <c r="T63" s="637">
        <f t="shared" ca="1" si="13"/>
        <v>0</v>
      </c>
      <c r="U63" s="638">
        <f t="shared" si="18"/>
        <v>2</v>
      </c>
      <c r="V63" s="638">
        <f t="shared" ca="1" si="19"/>
        <v>0</v>
      </c>
    </row>
    <row r="64" spans="1:22" x14ac:dyDescent="0.25">
      <c r="A64" t="s">
        <v>174</v>
      </c>
      <c r="B64" s="556">
        <v>2</v>
      </c>
      <c r="C64" t="s">
        <v>1501</v>
      </c>
      <c r="D64" s="1077" t="s">
        <v>1522</v>
      </c>
      <c r="E64" s="556">
        <f ca="1">VLOOKUP(A64,Data!C:I,7,FALSE)</f>
        <v>0</v>
      </c>
      <c r="F64" s="636" t="str">
        <f t="shared" si="0"/>
        <v>PR.AC-42</v>
      </c>
      <c r="G64" s="636" t="str">
        <f t="shared" ca="1" si="1"/>
        <v>PR.AC-420</v>
      </c>
      <c r="I64" s="1078" t="s">
        <v>1761</v>
      </c>
      <c r="J64" s="1075" t="s">
        <v>1539</v>
      </c>
      <c r="K64" s="637">
        <f t="shared" ca="1" si="8"/>
        <v>0</v>
      </c>
      <c r="L64" s="638">
        <f t="shared" si="9"/>
        <v>1</v>
      </c>
      <c r="M64" s="638">
        <f t="shared" ca="1" si="10"/>
        <v>0</v>
      </c>
      <c r="N64" s="637">
        <f t="shared" si="11"/>
        <v>0</v>
      </c>
      <c r="O64" s="638">
        <f t="shared" si="14"/>
        <v>0</v>
      </c>
      <c r="P64" s="638">
        <f t="shared" ca="1" si="15"/>
        <v>0</v>
      </c>
      <c r="Q64" s="637">
        <f t="shared" si="12"/>
        <v>0</v>
      </c>
      <c r="R64" s="638">
        <f t="shared" si="16"/>
        <v>0</v>
      </c>
      <c r="S64" s="638">
        <f t="shared" ca="1" si="17"/>
        <v>0</v>
      </c>
      <c r="T64" s="637">
        <f t="shared" ca="1" si="13"/>
        <v>0</v>
      </c>
      <c r="U64" s="638">
        <f t="shared" si="18"/>
        <v>1</v>
      </c>
      <c r="V64" s="638">
        <f t="shared" ca="1" si="19"/>
        <v>0</v>
      </c>
    </row>
    <row r="65" spans="1:22" x14ac:dyDescent="0.25">
      <c r="A65" t="s">
        <v>965</v>
      </c>
      <c r="B65" s="556">
        <v>2</v>
      </c>
      <c r="C65" t="s">
        <v>1501</v>
      </c>
      <c r="D65" s="1075" t="s">
        <v>1526</v>
      </c>
      <c r="E65" s="556">
        <f ca="1">VLOOKUP(A65,Data!C:I,7,FALSE)</f>
        <v>0</v>
      </c>
      <c r="F65" s="636" t="str">
        <f t="shared" si="0"/>
        <v>PR.AC-22</v>
      </c>
      <c r="G65" s="636" t="str">
        <f t="shared" ca="1" si="1"/>
        <v>PR.AC-220</v>
      </c>
      <c r="I65" s="1078" t="s">
        <v>1772</v>
      </c>
      <c r="J65" s="1075" t="s">
        <v>1555</v>
      </c>
      <c r="K65" s="637">
        <f t="shared" ca="1" si="8"/>
        <v>0</v>
      </c>
      <c r="L65" s="638">
        <f t="shared" si="9"/>
        <v>9</v>
      </c>
      <c r="M65" s="638">
        <f t="shared" ca="1" si="10"/>
        <v>0</v>
      </c>
      <c r="N65" s="637">
        <f t="shared" ca="1" si="11"/>
        <v>0</v>
      </c>
      <c r="O65" s="638">
        <f t="shared" si="14"/>
        <v>2</v>
      </c>
      <c r="P65" s="638">
        <f t="shared" ca="1" si="15"/>
        <v>0</v>
      </c>
      <c r="Q65" s="637">
        <f t="shared" ca="1" si="12"/>
        <v>0</v>
      </c>
      <c r="R65" s="638">
        <f t="shared" si="16"/>
        <v>6</v>
      </c>
      <c r="S65" s="638">
        <f t="shared" ca="1" si="17"/>
        <v>0</v>
      </c>
      <c r="T65" s="637">
        <f t="shared" ca="1" si="13"/>
        <v>0</v>
      </c>
      <c r="U65" s="638">
        <f t="shared" si="18"/>
        <v>1</v>
      </c>
      <c r="V65" s="638">
        <f t="shared" ca="1" si="19"/>
        <v>0</v>
      </c>
    </row>
    <row r="66" spans="1:22" x14ac:dyDescent="0.25">
      <c r="A66" t="s">
        <v>965</v>
      </c>
      <c r="B66" s="556">
        <v>2</v>
      </c>
      <c r="C66" t="s">
        <v>1501</v>
      </c>
      <c r="D66" s="1077" t="s">
        <v>1522</v>
      </c>
      <c r="E66" s="556">
        <f ca="1">VLOOKUP(A66,Data!C:I,7,FALSE)</f>
        <v>0</v>
      </c>
      <c r="F66" s="636" t="str">
        <f t="shared" si="0"/>
        <v>PR.AC-42</v>
      </c>
      <c r="G66" s="636" t="str">
        <f t="shared" ca="1" si="1"/>
        <v>PR.AC-420</v>
      </c>
      <c r="I66" s="1078" t="s">
        <v>1772</v>
      </c>
      <c r="J66" s="1078" t="s">
        <v>1557</v>
      </c>
      <c r="K66" s="637">
        <f t="shared" ca="1" si="8"/>
        <v>0</v>
      </c>
      <c r="L66" s="638">
        <f t="shared" si="9"/>
        <v>7</v>
      </c>
      <c r="M66" s="638">
        <f t="shared" ca="1" si="10"/>
        <v>0</v>
      </c>
      <c r="N66" s="637">
        <f t="shared" si="11"/>
        <v>0</v>
      </c>
      <c r="O66" s="638">
        <f t="shared" si="14"/>
        <v>0</v>
      </c>
      <c r="P66" s="638">
        <f t="shared" ca="1" si="15"/>
        <v>0</v>
      </c>
      <c r="Q66" s="637">
        <f t="shared" ca="1" si="12"/>
        <v>0</v>
      </c>
      <c r="R66" s="638">
        <f t="shared" si="16"/>
        <v>2</v>
      </c>
      <c r="S66" s="638">
        <f t="shared" ca="1" si="17"/>
        <v>0</v>
      </c>
      <c r="T66" s="637">
        <f t="shared" ca="1" si="13"/>
        <v>0</v>
      </c>
      <c r="U66" s="638">
        <f t="shared" si="18"/>
        <v>5</v>
      </c>
      <c r="V66" s="638">
        <f t="shared" ca="1" si="19"/>
        <v>0</v>
      </c>
    </row>
    <row r="67" spans="1:22" x14ac:dyDescent="0.25">
      <c r="A67" t="s">
        <v>965</v>
      </c>
      <c r="B67" s="556">
        <v>2</v>
      </c>
      <c r="C67" t="s">
        <v>1502</v>
      </c>
      <c r="D67" s="1076" t="s">
        <v>1527</v>
      </c>
      <c r="E67" s="556">
        <f ca="1">VLOOKUP(A67,Data!C:I,7,FALSE)</f>
        <v>0</v>
      </c>
      <c r="F67" s="636" t="str">
        <f t="shared" ref="F67:F130" si="20">CONCATENATE($D67,$B67)</f>
        <v>DE.CM-22</v>
      </c>
      <c r="G67" s="636" t="str">
        <f t="shared" ref="G67:G130" ca="1" si="21">_xlfn.IFNA(CONCATENATE(F67,$E67),CONCATENATE(F67,$E67,0))</f>
        <v>DE.CM-220</v>
      </c>
      <c r="I67" s="1078" t="s">
        <v>1772</v>
      </c>
      <c r="J67" s="1075" t="s">
        <v>1544</v>
      </c>
      <c r="K67" s="637">
        <f t="shared" ca="1" si="8"/>
        <v>0</v>
      </c>
      <c r="L67" s="638">
        <f t="shared" si="9"/>
        <v>15</v>
      </c>
      <c r="M67" s="638">
        <f t="shared" ca="1" si="10"/>
        <v>0</v>
      </c>
      <c r="N67" s="637">
        <f t="shared" ca="1" si="11"/>
        <v>0</v>
      </c>
      <c r="O67" s="638">
        <f t="shared" si="14"/>
        <v>3</v>
      </c>
      <c r="P67" s="638">
        <f t="shared" ca="1" si="15"/>
        <v>0</v>
      </c>
      <c r="Q67" s="637">
        <f t="shared" ca="1" si="12"/>
        <v>0</v>
      </c>
      <c r="R67" s="638">
        <f t="shared" si="16"/>
        <v>8</v>
      </c>
      <c r="S67" s="638">
        <f t="shared" ca="1" si="17"/>
        <v>0</v>
      </c>
      <c r="T67" s="637">
        <f t="shared" ca="1" si="13"/>
        <v>0</v>
      </c>
      <c r="U67" s="638">
        <f t="shared" si="18"/>
        <v>4</v>
      </c>
      <c r="V67" s="638">
        <f t="shared" ca="1" si="19"/>
        <v>0</v>
      </c>
    </row>
    <row r="68" spans="1:22" x14ac:dyDescent="0.25">
      <c r="A68" t="s">
        <v>965</v>
      </c>
      <c r="B68" s="556">
        <v>2</v>
      </c>
      <c r="C68" t="s">
        <v>1502</v>
      </c>
      <c r="D68" s="1076" t="s">
        <v>1523</v>
      </c>
      <c r="E68" s="556">
        <f ca="1">VLOOKUP(A68,Data!C:I,7,FALSE)</f>
        <v>0</v>
      </c>
      <c r="F68" s="636" t="str">
        <f t="shared" si="20"/>
        <v>DE.CM-32</v>
      </c>
      <c r="G68" s="636" t="str">
        <f t="shared" ca="1" si="21"/>
        <v>DE.CM-320</v>
      </c>
      <c r="I68" s="1078" t="s">
        <v>1772</v>
      </c>
      <c r="J68" s="1075" t="s">
        <v>1600</v>
      </c>
      <c r="K68" s="637">
        <f t="shared" ca="1" si="8"/>
        <v>0</v>
      </c>
      <c r="L68" s="638">
        <f t="shared" si="9"/>
        <v>1</v>
      </c>
      <c r="M68" s="638">
        <f t="shared" ca="1" si="10"/>
        <v>0</v>
      </c>
      <c r="N68" s="637">
        <f t="shared" ca="1" si="11"/>
        <v>0</v>
      </c>
      <c r="O68" s="638">
        <f t="shared" si="14"/>
        <v>1</v>
      </c>
      <c r="P68" s="638">
        <f t="shared" ca="1" si="15"/>
        <v>0</v>
      </c>
      <c r="Q68" s="637">
        <f t="shared" si="12"/>
        <v>0</v>
      </c>
      <c r="R68" s="638">
        <f t="shared" si="16"/>
        <v>0</v>
      </c>
      <c r="S68" s="638">
        <f t="shared" ca="1" si="17"/>
        <v>0</v>
      </c>
      <c r="T68" s="637">
        <f t="shared" si="13"/>
        <v>0</v>
      </c>
      <c r="U68" s="638">
        <f t="shared" si="18"/>
        <v>0</v>
      </c>
      <c r="V68" s="638">
        <f t="shared" ca="1" si="19"/>
        <v>0</v>
      </c>
    </row>
    <row r="69" spans="1:22" x14ac:dyDescent="0.25">
      <c r="A69" t="s">
        <v>965</v>
      </c>
      <c r="B69" s="556">
        <v>2</v>
      </c>
      <c r="C69" t="s">
        <v>1502</v>
      </c>
      <c r="D69" s="1076" t="s">
        <v>1524</v>
      </c>
      <c r="E69" s="556">
        <f ca="1">VLOOKUP(A69,Data!C:I,7,FALSE)</f>
        <v>0</v>
      </c>
      <c r="F69" s="636" t="str">
        <f t="shared" si="20"/>
        <v>DE.CM-62</v>
      </c>
      <c r="G69" s="636" t="str">
        <f t="shared" ca="1" si="21"/>
        <v>DE.CM-620</v>
      </c>
      <c r="I69" s="1078" t="s">
        <v>1772</v>
      </c>
      <c r="J69" s="1075" t="s">
        <v>1558</v>
      </c>
      <c r="K69" s="637">
        <f t="shared" ca="1" si="8"/>
        <v>0</v>
      </c>
      <c r="L69" s="638">
        <f t="shared" si="9"/>
        <v>9</v>
      </c>
      <c r="M69" s="638">
        <f t="shared" ca="1" si="10"/>
        <v>0</v>
      </c>
      <c r="N69" s="637">
        <f t="shared" ca="1" si="11"/>
        <v>0</v>
      </c>
      <c r="O69" s="638">
        <f t="shared" si="14"/>
        <v>1</v>
      </c>
      <c r="P69" s="638">
        <f t="shared" ca="1" si="15"/>
        <v>0</v>
      </c>
      <c r="Q69" s="637">
        <f t="shared" ca="1" si="12"/>
        <v>0</v>
      </c>
      <c r="R69" s="638">
        <f t="shared" si="16"/>
        <v>5</v>
      </c>
      <c r="S69" s="638">
        <f t="shared" ca="1" si="17"/>
        <v>0</v>
      </c>
      <c r="T69" s="637">
        <f t="shared" ca="1" si="13"/>
        <v>0</v>
      </c>
      <c r="U69" s="638">
        <f t="shared" si="18"/>
        <v>3</v>
      </c>
      <c r="V69" s="638">
        <f t="shared" ca="1" si="19"/>
        <v>0</v>
      </c>
    </row>
    <row r="70" spans="1:22" x14ac:dyDescent="0.25">
      <c r="A70" t="s">
        <v>965</v>
      </c>
      <c r="B70" s="556">
        <v>2</v>
      </c>
      <c r="C70" t="s">
        <v>1502</v>
      </c>
      <c r="D70" s="1076" t="s">
        <v>1525</v>
      </c>
      <c r="E70" s="556">
        <f ca="1">VLOOKUP(A70,Data!C:I,7,FALSE)</f>
        <v>0</v>
      </c>
      <c r="F70" s="636" t="str">
        <f t="shared" si="20"/>
        <v>DE.CM-72</v>
      </c>
      <c r="G70" s="636" t="str">
        <f t="shared" ca="1" si="21"/>
        <v>DE.CM-720</v>
      </c>
      <c r="I70" s="1078" t="s">
        <v>1772</v>
      </c>
      <c r="J70" s="1075" t="s">
        <v>1553</v>
      </c>
      <c r="K70" s="637">
        <f t="shared" ca="1" si="8"/>
        <v>0</v>
      </c>
      <c r="L70" s="638">
        <f t="shared" si="9"/>
        <v>3</v>
      </c>
      <c r="M70" s="638">
        <f t="shared" ca="1" si="10"/>
        <v>0</v>
      </c>
      <c r="N70" s="637">
        <f t="shared" si="11"/>
        <v>0</v>
      </c>
      <c r="O70" s="638">
        <f t="shared" si="14"/>
        <v>0</v>
      </c>
      <c r="P70" s="638">
        <f t="shared" ca="1" si="15"/>
        <v>0</v>
      </c>
      <c r="Q70" s="637">
        <f t="shared" ca="1" si="12"/>
        <v>0</v>
      </c>
      <c r="R70" s="638">
        <f t="shared" si="16"/>
        <v>1</v>
      </c>
      <c r="S70" s="638">
        <f t="shared" ca="1" si="17"/>
        <v>0</v>
      </c>
      <c r="T70" s="637">
        <f t="shared" ca="1" si="13"/>
        <v>0</v>
      </c>
      <c r="U70" s="638">
        <f t="shared" si="18"/>
        <v>2</v>
      </c>
      <c r="V70" s="638">
        <f t="shared" ca="1" si="19"/>
        <v>0</v>
      </c>
    </row>
    <row r="71" spans="1:22" x14ac:dyDescent="0.25">
      <c r="A71" t="s">
        <v>966</v>
      </c>
      <c r="B71" s="556">
        <v>3</v>
      </c>
      <c r="C71" t="s">
        <v>1501</v>
      </c>
      <c r="D71" s="1075" t="s">
        <v>1526</v>
      </c>
      <c r="E71" s="556">
        <f ca="1">VLOOKUP(A71,Data!C:I,7,FALSE)</f>
        <v>0</v>
      </c>
      <c r="F71" s="636" t="str">
        <f t="shared" si="20"/>
        <v>PR.AC-23</v>
      </c>
      <c r="G71" s="636" t="str">
        <f t="shared" ca="1" si="21"/>
        <v>PR.AC-230</v>
      </c>
      <c r="I71" s="1078" t="s">
        <v>1772</v>
      </c>
      <c r="J71" s="1075" t="s">
        <v>1781</v>
      </c>
      <c r="K71" s="637">
        <f t="shared" ca="1" si="8"/>
        <v>0</v>
      </c>
      <c r="L71" s="638">
        <f t="shared" si="9"/>
        <v>19</v>
      </c>
      <c r="M71" s="638">
        <f t="shared" ca="1" si="10"/>
        <v>0</v>
      </c>
      <c r="N71" s="637">
        <f t="shared" si="11"/>
        <v>0</v>
      </c>
      <c r="O71" s="638">
        <f t="shared" si="14"/>
        <v>0</v>
      </c>
      <c r="P71" s="638">
        <f t="shared" ca="1" si="15"/>
        <v>0</v>
      </c>
      <c r="Q71" s="637">
        <f t="shared" ca="1" si="12"/>
        <v>0</v>
      </c>
      <c r="R71" s="638">
        <f t="shared" si="16"/>
        <v>3</v>
      </c>
      <c r="S71" s="638">
        <f t="shared" ca="1" si="17"/>
        <v>0</v>
      </c>
      <c r="T71" s="637">
        <f t="shared" ca="1" si="13"/>
        <v>0</v>
      </c>
      <c r="U71" s="638">
        <f t="shared" si="18"/>
        <v>16</v>
      </c>
      <c r="V71" s="638">
        <f t="shared" ca="1" si="19"/>
        <v>0</v>
      </c>
    </row>
    <row r="72" spans="1:22" x14ac:dyDescent="0.25">
      <c r="A72" t="s">
        <v>966</v>
      </c>
      <c r="B72" s="556">
        <v>3</v>
      </c>
      <c r="C72" t="s">
        <v>1501</v>
      </c>
      <c r="D72" s="1077" t="s">
        <v>1522</v>
      </c>
      <c r="E72" s="556">
        <f ca="1">VLOOKUP(A72,Data!C:I,7,FALSE)</f>
        <v>0</v>
      </c>
      <c r="F72" s="636" t="str">
        <f t="shared" si="20"/>
        <v>PR.AC-43</v>
      </c>
      <c r="G72" s="636" t="str">
        <f t="shared" ca="1" si="21"/>
        <v>PR.AC-430</v>
      </c>
      <c r="I72" s="1078" t="s">
        <v>1772</v>
      </c>
      <c r="J72" s="1075" t="s">
        <v>1531</v>
      </c>
      <c r="K72" s="637">
        <f t="shared" ca="1" si="8"/>
        <v>0</v>
      </c>
      <c r="L72" s="638">
        <f t="shared" si="9"/>
        <v>3</v>
      </c>
      <c r="M72" s="638">
        <f t="shared" ca="1" si="10"/>
        <v>0</v>
      </c>
      <c r="N72" s="637">
        <f t="shared" si="11"/>
        <v>0</v>
      </c>
      <c r="O72" s="638">
        <f t="shared" si="14"/>
        <v>0</v>
      </c>
      <c r="P72" s="638">
        <f t="shared" ca="1" si="15"/>
        <v>0</v>
      </c>
      <c r="Q72" s="637">
        <f t="shared" ca="1" si="12"/>
        <v>0</v>
      </c>
      <c r="R72" s="638">
        <f t="shared" si="16"/>
        <v>1</v>
      </c>
      <c r="S72" s="638">
        <f t="shared" ca="1" si="17"/>
        <v>0</v>
      </c>
      <c r="T72" s="637">
        <f t="shared" ca="1" si="13"/>
        <v>0</v>
      </c>
      <c r="U72" s="638">
        <f t="shared" si="18"/>
        <v>2</v>
      </c>
      <c r="V72" s="638">
        <f t="shared" ca="1" si="19"/>
        <v>0</v>
      </c>
    </row>
    <row r="73" spans="1:22" x14ac:dyDescent="0.25">
      <c r="A73" t="s">
        <v>2609</v>
      </c>
      <c r="B73" s="556">
        <v>3</v>
      </c>
      <c r="C73" t="s">
        <v>1501</v>
      </c>
      <c r="D73" s="1075" t="s">
        <v>1526</v>
      </c>
      <c r="E73" s="556">
        <f ca="1">VLOOKUP(A73,Data!C:I,7,FALSE)</f>
        <v>0</v>
      </c>
      <c r="F73" s="636" t="str">
        <f t="shared" si="20"/>
        <v>PR.AC-23</v>
      </c>
      <c r="G73" s="636" t="str">
        <f t="shared" ca="1" si="21"/>
        <v>PR.AC-230</v>
      </c>
      <c r="I73" s="1078" t="s">
        <v>1772</v>
      </c>
      <c r="J73" s="1075" t="s">
        <v>1569</v>
      </c>
      <c r="K73" s="637">
        <f t="shared" ca="1" si="8"/>
        <v>0</v>
      </c>
      <c r="L73" s="638">
        <f t="shared" si="9"/>
        <v>15</v>
      </c>
      <c r="M73" s="638">
        <f t="shared" ca="1" si="10"/>
        <v>0</v>
      </c>
      <c r="N73" s="637">
        <f t="shared" ca="1" si="11"/>
        <v>0</v>
      </c>
      <c r="O73" s="638">
        <f t="shared" si="14"/>
        <v>2</v>
      </c>
      <c r="P73" s="638">
        <f t="shared" ca="1" si="15"/>
        <v>0</v>
      </c>
      <c r="Q73" s="637">
        <f t="shared" ca="1" si="12"/>
        <v>0</v>
      </c>
      <c r="R73" s="638">
        <f t="shared" si="16"/>
        <v>10</v>
      </c>
      <c r="S73" s="638">
        <f t="shared" ca="1" si="17"/>
        <v>0</v>
      </c>
      <c r="T73" s="637">
        <f t="shared" ca="1" si="13"/>
        <v>0</v>
      </c>
      <c r="U73" s="638">
        <f t="shared" si="18"/>
        <v>3</v>
      </c>
      <c r="V73" s="638">
        <f t="shared" ca="1" si="19"/>
        <v>0</v>
      </c>
    </row>
    <row r="74" spans="1:22" x14ac:dyDescent="0.25">
      <c r="A74" t="s">
        <v>2609</v>
      </c>
      <c r="B74" s="556">
        <v>3</v>
      </c>
      <c r="C74" t="s">
        <v>1502</v>
      </c>
      <c r="D74" s="1076" t="s">
        <v>1527</v>
      </c>
      <c r="E74" s="556">
        <f ca="1">VLOOKUP(A74,Data!C:I,7,FALSE)</f>
        <v>0</v>
      </c>
      <c r="F74" s="636" t="str">
        <f t="shared" si="20"/>
        <v>DE.CM-23</v>
      </c>
      <c r="G74" s="636" t="str">
        <f t="shared" ca="1" si="21"/>
        <v>DE.CM-230</v>
      </c>
      <c r="I74" s="1078" t="s">
        <v>1772</v>
      </c>
      <c r="J74" s="1075" t="s">
        <v>1594</v>
      </c>
      <c r="K74" s="637">
        <f t="shared" ca="1" si="8"/>
        <v>0</v>
      </c>
      <c r="L74" s="638">
        <f t="shared" si="9"/>
        <v>5</v>
      </c>
      <c r="M74" s="638">
        <f t="shared" ca="1" si="10"/>
        <v>0</v>
      </c>
      <c r="N74" s="637">
        <f t="shared" si="11"/>
        <v>0</v>
      </c>
      <c r="O74" s="638">
        <f t="shared" si="14"/>
        <v>0</v>
      </c>
      <c r="P74" s="638">
        <f t="shared" ca="1" si="15"/>
        <v>0</v>
      </c>
      <c r="Q74" s="637">
        <f t="shared" ca="1" si="12"/>
        <v>0</v>
      </c>
      <c r="R74" s="638">
        <f t="shared" si="16"/>
        <v>3</v>
      </c>
      <c r="S74" s="638">
        <f t="shared" ca="1" si="17"/>
        <v>0</v>
      </c>
      <c r="T74" s="637">
        <f t="shared" ca="1" si="13"/>
        <v>0</v>
      </c>
      <c r="U74" s="638">
        <f t="shared" si="18"/>
        <v>2</v>
      </c>
      <c r="V74" s="638">
        <f t="shared" ca="1" si="19"/>
        <v>0</v>
      </c>
    </row>
    <row r="75" spans="1:22" x14ac:dyDescent="0.25">
      <c r="A75" t="s">
        <v>2609</v>
      </c>
      <c r="B75" s="556">
        <v>3</v>
      </c>
      <c r="C75" t="s">
        <v>1502</v>
      </c>
      <c r="D75" s="1078" t="s">
        <v>1523</v>
      </c>
      <c r="E75" s="556">
        <f ca="1">VLOOKUP(A75,Data!C:I,7,FALSE)</f>
        <v>0</v>
      </c>
      <c r="F75" s="636" t="str">
        <f t="shared" si="20"/>
        <v>DE.CM-33</v>
      </c>
      <c r="G75" s="636" t="str">
        <f t="shared" ca="1" si="21"/>
        <v>DE.CM-330</v>
      </c>
      <c r="I75" s="1078" t="s">
        <v>1772</v>
      </c>
      <c r="J75" s="1075" t="s">
        <v>1618</v>
      </c>
      <c r="K75" s="637">
        <f t="shared" ca="1" si="8"/>
        <v>0</v>
      </c>
      <c r="L75" s="638">
        <f t="shared" si="9"/>
        <v>25</v>
      </c>
      <c r="M75" s="638">
        <f t="shared" ca="1" si="10"/>
        <v>0</v>
      </c>
      <c r="N75" s="637">
        <f t="shared" ca="1" si="11"/>
        <v>0</v>
      </c>
      <c r="O75" s="638">
        <f t="shared" si="14"/>
        <v>9</v>
      </c>
      <c r="P75" s="638">
        <f t="shared" ca="1" si="15"/>
        <v>0</v>
      </c>
      <c r="Q75" s="637">
        <f t="shared" ca="1" si="12"/>
        <v>0</v>
      </c>
      <c r="R75" s="638">
        <f t="shared" si="16"/>
        <v>10</v>
      </c>
      <c r="S75" s="638">
        <f t="shared" ca="1" si="17"/>
        <v>0</v>
      </c>
      <c r="T75" s="637">
        <f t="shared" ca="1" si="13"/>
        <v>0</v>
      </c>
      <c r="U75" s="638">
        <f t="shared" si="18"/>
        <v>6</v>
      </c>
      <c r="V75" s="638">
        <f t="shared" ca="1" si="19"/>
        <v>0</v>
      </c>
    </row>
    <row r="76" spans="1:22" x14ac:dyDescent="0.25">
      <c r="A76" t="s">
        <v>2609</v>
      </c>
      <c r="B76" s="556">
        <v>3</v>
      </c>
      <c r="C76" t="s">
        <v>1502</v>
      </c>
      <c r="D76" s="1076" t="s">
        <v>1525</v>
      </c>
      <c r="E76" s="556">
        <f ca="1">VLOOKUP(A76,Data!C:I,7,FALSE)</f>
        <v>0</v>
      </c>
      <c r="F76" s="636" t="str">
        <f t="shared" si="20"/>
        <v>DE.CM-73</v>
      </c>
      <c r="G76" s="636" t="str">
        <f t="shared" ca="1" si="21"/>
        <v>DE.CM-730</v>
      </c>
      <c r="I76" s="1078" t="s">
        <v>1772</v>
      </c>
      <c r="J76" s="1075" t="s">
        <v>1614</v>
      </c>
      <c r="K76" s="637">
        <f t="shared" ca="1" si="8"/>
        <v>0</v>
      </c>
      <c r="L76" s="638">
        <f t="shared" si="9"/>
        <v>2</v>
      </c>
      <c r="M76" s="638">
        <f t="shared" ca="1" si="10"/>
        <v>0</v>
      </c>
      <c r="N76" s="637">
        <f t="shared" si="11"/>
        <v>0</v>
      </c>
      <c r="O76" s="638">
        <f t="shared" si="14"/>
        <v>0</v>
      </c>
      <c r="P76" s="638">
        <f t="shared" ca="1" si="15"/>
        <v>0</v>
      </c>
      <c r="Q76" s="637">
        <f t="shared" ca="1" si="12"/>
        <v>0</v>
      </c>
      <c r="R76" s="638">
        <f t="shared" si="16"/>
        <v>1</v>
      </c>
      <c r="S76" s="638">
        <f t="shared" ca="1" si="17"/>
        <v>0</v>
      </c>
      <c r="T76" s="637">
        <f t="shared" ca="1" si="13"/>
        <v>0</v>
      </c>
      <c r="U76" s="638">
        <f t="shared" si="18"/>
        <v>1</v>
      </c>
      <c r="V76" s="638">
        <f t="shared" ca="1" si="19"/>
        <v>0</v>
      </c>
    </row>
    <row r="77" spans="1:22" x14ac:dyDescent="0.25">
      <c r="A77" t="s">
        <v>969</v>
      </c>
      <c r="B77" s="556">
        <v>3</v>
      </c>
      <c r="C77" t="s">
        <v>446</v>
      </c>
      <c r="D77" s="1079" t="s">
        <v>1562</v>
      </c>
      <c r="E77" s="556">
        <f ca="1">VLOOKUP(A77,Data!C:I,7,FALSE)</f>
        <v>0</v>
      </c>
      <c r="F77" s="636" t="str">
        <f t="shared" si="20"/>
        <v>ID.GV-13</v>
      </c>
      <c r="G77" s="636" t="str">
        <f t="shared" ca="1" si="21"/>
        <v>ID.GV-130</v>
      </c>
      <c r="I77" s="1078" t="s">
        <v>1788</v>
      </c>
      <c r="J77" s="1075" t="s">
        <v>1556</v>
      </c>
      <c r="K77" s="637">
        <f t="shared" ca="1" si="8"/>
        <v>0</v>
      </c>
      <c r="L77" s="638">
        <f t="shared" si="9"/>
        <v>8</v>
      </c>
      <c r="M77" s="638">
        <f t="shared" ca="1" si="10"/>
        <v>0</v>
      </c>
      <c r="N77" s="637">
        <f t="shared" ca="1" si="11"/>
        <v>0</v>
      </c>
      <c r="O77" s="638">
        <f t="shared" si="14"/>
        <v>2</v>
      </c>
      <c r="P77" s="638">
        <f t="shared" ca="1" si="15"/>
        <v>0</v>
      </c>
      <c r="Q77" s="637">
        <f t="shared" ca="1" si="12"/>
        <v>0</v>
      </c>
      <c r="R77" s="638">
        <f t="shared" si="16"/>
        <v>4</v>
      </c>
      <c r="S77" s="638">
        <f t="shared" ca="1" si="17"/>
        <v>0</v>
      </c>
      <c r="T77" s="637">
        <f t="shared" ca="1" si="13"/>
        <v>0</v>
      </c>
      <c r="U77" s="638">
        <f t="shared" si="18"/>
        <v>2</v>
      </c>
      <c r="V77" s="638">
        <f t="shared" ca="1" si="19"/>
        <v>0</v>
      </c>
    </row>
    <row r="78" spans="1:22" x14ac:dyDescent="0.25">
      <c r="A78" t="s">
        <v>969</v>
      </c>
      <c r="B78" s="556">
        <v>3</v>
      </c>
      <c r="C78" t="s">
        <v>446</v>
      </c>
      <c r="D78" s="1079" t="s">
        <v>1576</v>
      </c>
      <c r="E78" s="556">
        <f ca="1">VLOOKUP(A78,Data!C:I,7,FALSE)</f>
        <v>0</v>
      </c>
      <c r="F78" s="636" t="str">
        <f t="shared" si="20"/>
        <v>ID.GV-33</v>
      </c>
      <c r="G78" s="636" t="str">
        <f t="shared" ca="1" si="21"/>
        <v>ID.GV-330</v>
      </c>
      <c r="I78" s="1078" t="s">
        <v>1788</v>
      </c>
      <c r="J78" s="1075" t="s">
        <v>1521</v>
      </c>
      <c r="K78" s="637">
        <f t="shared" ca="1" si="8"/>
        <v>0</v>
      </c>
      <c r="L78" s="638">
        <f t="shared" si="9"/>
        <v>3</v>
      </c>
      <c r="M78" s="638">
        <f t="shared" ca="1" si="10"/>
        <v>0</v>
      </c>
      <c r="N78" s="637">
        <f t="shared" si="11"/>
        <v>0</v>
      </c>
      <c r="O78" s="638">
        <f t="shared" si="14"/>
        <v>0</v>
      </c>
      <c r="P78" s="638">
        <f t="shared" ca="1" si="15"/>
        <v>0</v>
      </c>
      <c r="Q78" s="637">
        <f t="shared" ca="1" si="12"/>
        <v>0</v>
      </c>
      <c r="R78" s="638">
        <f t="shared" si="16"/>
        <v>3</v>
      </c>
      <c r="S78" s="638">
        <f t="shared" ca="1" si="17"/>
        <v>0</v>
      </c>
      <c r="T78" s="637">
        <f t="shared" si="13"/>
        <v>0</v>
      </c>
      <c r="U78" s="638">
        <f t="shared" si="18"/>
        <v>0</v>
      </c>
      <c r="V78" s="638">
        <f t="shared" ca="1" si="19"/>
        <v>0</v>
      </c>
    </row>
    <row r="79" spans="1:22" x14ac:dyDescent="0.25">
      <c r="A79" t="s">
        <v>969</v>
      </c>
      <c r="B79" s="556">
        <v>3</v>
      </c>
      <c r="C79" t="s">
        <v>1501</v>
      </c>
      <c r="D79" s="1075" t="s">
        <v>1558</v>
      </c>
      <c r="E79" s="556">
        <f ca="1">VLOOKUP(A79,Data!C:I,7,FALSE)</f>
        <v>0</v>
      </c>
      <c r="F79" s="636" t="str">
        <f t="shared" si="20"/>
        <v>PR.IP-53</v>
      </c>
      <c r="G79" s="636" t="str">
        <f t="shared" ca="1" si="21"/>
        <v>PR.IP-530</v>
      </c>
      <c r="I79" s="1078" t="s">
        <v>1793</v>
      </c>
      <c r="J79" s="1077" t="s">
        <v>1528</v>
      </c>
      <c r="K79" s="637">
        <f t="shared" ca="1" si="8"/>
        <v>0</v>
      </c>
      <c r="L79" s="638">
        <f t="shared" si="9"/>
        <v>9</v>
      </c>
      <c r="M79" s="638">
        <f t="shared" ca="1" si="10"/>
        <v>0</v>
      </c>
      <c r="N79" s="637">
        <f t="shared" ca="1" si="11"/>
        <v>0</v>
      </c>
      <c r="O79" s="638">
        <f t="shared" si="14"/>
        <v>4</v>
      </c>
      <c r="P79" s="638">
        <f t="shared" ca="1" si="15"/>
        <v>0</v>
      </c>
      <c r="Q79" s="637">
        <f t="shared" ca="1" si="12"/>
        <v>0</v>
      </c>
      <c r="R79" s="638">
        <f t="shared" si="16"/>
        <v>4</v>
      </c>
      <c r="S79" s="638">
        <f t="shared" ca="1" si="17"/>
        <v>0</v>
      </c>
      <c r="T79" s="637">
        <f t="shared" ca="1" si="13"/>
        <v>0</v>
      </c>
      <c r="U79" s="638">
        <f t="shared" si="18"/>
        <v>1</v>
      </c>
      <c r="V79" s="638">
        <f t="shared" ca="1" si="19"/>
        <v>0</v>
      </c>
    </row>
    <row r="80" spans="1:22" x14ac:dyDescent="0.25">
      <c r="A80" t="s">
        <v>970</v>
      </c>
      <c r="B80" s="556">
        <v>3</v>
      </c>
      <c r="C80" t="s">
        <v>446</v>
      </c>
      <c r="D80" s="1079" t="s">
        <v>1529</v>
      </c>
      <c r="E80" s="556">
        <f ca="1">VLOOKUP(A80,Data!C:I,7,FALSE)</f>
        <v>0</v>
      </c>
      <c r="F80" s="636" t="str">
        <f t="shared" si="20"/>
        <v>ID.AM-63</v>
      </c>
      <c r="G80" s="636" t="str">
        <f t="shared" ca="1" si="21"/>
        <v>ID.AM-630</v>
      </c>
      <c r="I80" s="1078" t="s">
        <v>1793</v>
      </c>
      <c r="J80" s="1075" t="s">
        <v>1519</v>
      </c>
      <c r="K80" s="637">
        <f t="shared" ref="K80:K121" ca="1" si="22">IF(L80=0,0,M80/L80)</f>
        <v>0</v>
      </c>
      <c r="L80" s="638">
        <f t="shared" ref="L80:L121" si="23">SUM(O80+R80+U80)</f>
        <v>3</v>
      </c>
      <c r="M80" s="638">
        <f t="shared" ref="M80:M121" ca="1" si="24">SUM(P80+S80+V80)</f>
        <v>0</v>
      </c>
      <c r="N80" s="637">
        <f t="shared" ref="N80:N121" si="25">IF(O80=0,0,P80/O80)</f>
        <v>0</v>
      </c>
      <c r="O80" s="638">
        <f t="shared" ref="O80:O111" si="26">COUNTIF($F:$F,CONCATENATE($J80,N$15))</f>
        <v>0</v>
      </c>
      <c r="P80" s="638">
        <f t="shared" ref="P80:P111" ca="1" si="27">COUNTIF($G:$G,CONCATENATE($J80,N$15,1))</f>
        <v>0</v>
      </c>
      <c r="Q80" s="637">
        <f t="shared" ref="Q80:Q121" ca="1" si="28">IF(R80=0,0,S80/R80)</f>
        <v>0</v>
      </c>
      <c r="R80" s="638">
        <f t="shared" ref="R80:R111" si="29">COUNTIF($F:$F,CONCATENATE($J80,Q$15))</f>
        <v>1</v>
      </c>
      <c r="S80" s="638">
        <f t="shared" ref="S80:S111" ca="1" si="30">COUNTIF($G:$G,CONCATENATE($J80,Q$15,1))</f>
        <v>0</v>
      </c>
      <c r="T80" s="637">
        <f t="shared" ref="T80:T121" ca="1" si="31">IF(U80=0,0,V80/U80)</f>
        <v>0</v>
      </c>
      <c r="U80" s="638">
        <f t="shared" ref="U80:U111" si="32">COUNTIF($F:$F,CONCATENATE($J80,T$15))</f>
        <v>2</v>
      </c>
      <c r="V80" s="638">
        <f t="shared" ref="V80:V111" ca="1" si="33">COUNTIF($G:$G,CONCATENATE($J80,T$15,1))</f>
        <v>0</v>
      </c>
    </row>
    <row r="81" spans="1:22" x14ac:dyDescent="0.25">
      <c r="A81" t="s">
        <v>970</v>
      </c>
      <c r="B81" s="556">
        <v>3</v>
      </c>
      <c r="C81" t="s">
        <v>446</v>
      </c>
      <c r="D81" s="1079" t="s">
        <v>1562</v>
      </c>
      <c r="E81" s="556">
        <f ca="1">VLOOKUP(A81,Data!C:I,7,FALSE)</f>
        <v>0</v>
      </c>
      <c r="F81" s="636" t="str">
        <f t="shared" si="20"/>
        <v>ID.GV-13</v>
      </c>
      <c r="G81" s="636" t="str">
        <f t="shared" ca="1" si="21"/>
        <v>ID.GV-130</v>
      </c>
      <c r="I81" s="1078" t="s">
        <v>1793</v>
      </c>
      <c r="J81" s="1075" t="s">
        <v>1520</v>
      </c>
      <c r="K81" s="637">
        <f t="shared" ca="1" si="22"/>
        <v>0</v>
      </c>
      <c r="L81" s="638">
        <f t="shared" si="23"/>
        <v>5</v>
      </c>
      <c r="M81" s="638">
        <f t="shared" ca="1" si="24"/>
        <v>0</v>
      </c>
      <c r="N81" s="637">
        <f t="shared" si="25"/>
        <v>0</v>
      </c>
      <c r="O81" s="638">
        <f t="shared" si="26"/>
        <v>0</v>
      </c>
      <c r="P81" s="638">
        <f t="shared" ca="1" si="27"/>
        <v>0</v>
      </c>
      <c r="Q81" s="637">
        <f t="shared" ca="1" si="28"/>
        <v>0</v>
      </c>
      <c r="R81" s="638">
        <f t="shared" si="29"/>
        <v>4</v>
      </c>
      <c r="S81" s="638">
        <f t="shared" ca="1" si="30"/>
        <v>0</v>
      </c>
      <c r="T81" s="637">
        <f t="shared" ca="1" si="31"/>
        <v>0</v>
      </c>
      <c r="U81" s="638">
        <f t="shared" si="32"/>
        <v>1</v>
      </c>
      <c r="V81" s="638">
        <f t="shared" ca="1" si="33"/>
        <v>0</v>
      </c>
    </row>
    <row r="82" spans="1:22" x14ac:dyDescent="0.25">
      <c r="A82" t="s">
        <v>970</v>
      </c>
      <c r="B82" s="556">
        <v>3</v>
      </c>
      <c r="C82" t="s">
        <v>446</v>
      </c>
      <c r="D82" s="1079" t="s">
        <v>1530</v>
      </c>
      <c r="E82" s="556">
        <f ca="1">VLOOKUP(A82,Data!C:I,7,FALSE)</f>
        <v>0</v>
      </c>
      <c r="F82" s="636" t="str">
        <f t="shared" si="20"/>
        <v>ID.GV-23</v>
      </c>
      <c r="G82" s="636" t="str">
        <f t="shared" ca="1" si="21"/>
        <v>ID.GV-230</v>
      </c>
      <c r="I82" s="1078" t="s">
        <v>1793</v>
      </c>
      <c r="J82" s="1075" t="s">
        <v>1533</v>
      </c>
      <c r="K82" s="637">
        <f t="shared" ca="1" si="22"/>
        <v>0</v>
      </c>
      <c r="L82" s="638">
        <f t="shared" si="23"/>
        <v>12</v>
      </c>
      <c r="M82" s="638">
        <f t="shared" ca="1" si="24"/>
        <v>0</v>
      </c>
      <c r="N82" s="637">
        <f t="shared" ca="1" si="25"/>
        <v>0</v>
      </c>
      <c r="O82" s="638">
        <f t="shared" si="26"/>
        <v>2</v>
      </c>
      <c r="P82" s="638">
        <f t="shared" ca="1" si="27"/>
        <v>0</v>
      </c>
      <c r="Q82" s="637">
        <f t="shared" ca="1" si="28"/>
        <v>0</v>
      </c>
      <c r="R82" s="638">
        <f t="shared" si="29"/>
        <v>5</v>
      </c>
      <c r="S82" s="638">
        <f t="shared" ca="1" si="30"/>
        <v>0</v>
      </c>
      <c r="T82" s="637">
        <f t="shared" ca="1" si="31"/>
        <v>0</v>
      </c>
      <c r="U82" s="638">
        <f t="shared" si="32"/>
        <v>5</v>
      </c>
      <c r="V82" s="638">
        <f t="shared" ca="1" si="33"/>
        <v>0</v>
      </c>
    </row>
    <row r="83" spans="1:22" x14ac:dyDescent="0.25">
      <c r="A83" t="s">
        <v>970</v>
      </c>
      <c r="B83" s="556">
        <v>3</v>
      </c>
      <c r="C83" t="s">
        <v>446</v>
      </c>
      <c r="D83" s="1079" t="s">
        <v>1576</v>
      </c>
      <c r="E83" s="556">
        <f ca="1">VLOOKUP(A83,Data!C:I,7,FALSE)</f>
        <v>0</v>
      </c>
      <c r="F83" s="636" t="str">
        <f t="shared" si="20"/>
        <v>ID.GV-33</v>
      </c>
      <c r="G83" s="636" t="str">
        <f t="shared" ca="1" si="21"/>
        <v>ID.GV-330</v>
      </c>
      <c r="I83" s="1078" t="s">
        <v>1793</v>
      </c>
      <c r="J83" s="1075" t="s">
        <v>1536</v>
      </c>
      <c r="K83" s="637">
        <f t="shared" ca="1" si="22"/>
        <v>0</v>
      </c>
      <c r="L83" s="638">
        <f t="shared" si="23"/>
        <v>9</v>
      </c>
      <c r="M83" s="638">
        <f t="shared" ca="1" si="24"/>
        <v>0</v>
      </c>
      <c r="N83" s="637">
        <f t="shared" ca="1" si="25"/>
        <v>0</v>
      </c>
      <c r="O83" s="638">
        <f t="shared" si="26"/>
        <v>3</v>
      </c>
      <c r="P83" s="638">
        <f t="shared" ca="1" si="27"/>
        <v>0</v>
      </c>
      <c r="Q83" s="637">
        <f t="shared" ca="1" si="28"/>
        <v>0</v>
      </c>
      <c r="R83" s="638">
        <f t="shared" si="29"/>
        <v>4</v>
      </c>
      <c r="S83" s="638">
        <f t="shared" ca="1" si="30"/>
        <v>0</v>
      </c>
      <c r="T83" s="637">
        <f t="shared" ca="1" si="31"/>
        <v>0</v>
      </c>
      <c r="U83" s="638">
        <f t="shared" si="32"/>
        <v>2</v>
      </c>
      <c r="V83" s="638">
        <f t="shared" ca="1" si="33"/>
        <v>0</v>
      </c>
    </row>
    <row r="84" spans="1:22" x14ac:dyDescent="0.25">
      <c r="A84" t="s">
        <v>970</v>
      </c>
      <c r="B84" s="556">
        <v>3</v>
      </c>
      <c r="C84" t="s">
        <v>1501</v>
      </c>
      <c r="D84" s="1075" t="s">
        <v>1615</v>
      </c>
      <c r="E84" s="556">
        <f ca="1">VLOOKUP(A84,Data!C:I,7,FALSE)</f>
        <v>0</v>
      </c>
      <c r="F84" s="636" t="str">
        <f t="shared" si="20"/>
        <v>PR.AT-23</v>
      </c>
      <c r="G84" s="636" t="str">
        <f t="shared" ca="1" si="21"/>
        <v>PR.AT-230</v>
      </c>
      <c r="I84" s="1078" t="s">
        <v>1801</v>
      </c>
      <c r="J84" s="1076" t="s">
        <v>1605</v>
      </c>
      <c r="K84" s="637">
        <f t="shared" ca="1" si="22"/>
        <v>0</v>
      </c>
      <c r="L84" s="638">
        <f t="shared" si="23"/>
        <v>2</v>
      </c>
      <c r="M84" s="638">
        <f t="shared" ca="1" si="24"/>
        <v>0</v>
      </c>
      <c r="N84" s="637">
        <f t="shared" si="25"/>
        <v>0</v>
      </c>
      <c r="O84" s="638">
        <f t="shared" si="26"/>
        <v>0</v>
      </c>
      <c r="P84" s="638">
        <f t="shared" ca="1" si="27"/>
        <v>0</v>
      </c>
      <c r="Q84" s="637">
        <f t="shared" ca="1" si="28"/>
        <v>0</v>
      </c>
      <c r="R84" s="638">
        <f t="shared" si="29"/>
        <v>1</v>
      </c>
      <c r="S84" s="638">
        <f t="shared" ca="1" si="30"/>
        <v>0</v>
      </c>
      <c r="T84" s="637">
        <f t="shared" ca="1" si="31"/>
        <v>0</v>
      </c>
      <c r="U84" s="638">
        <f t="shared" si="32"/>
        <v>1</v>
      </c>
      <c r="V84" s="638">
        <f t="shared" ca="1" si="33"/>
        <v>0</v>
      </c>
    </row>
    <row r="85" spans="1:22" x14ac:dyDescent="0.25">
      <c r="A85" t="s">
        <v>970</v>
      </c>
      <c r="B85" s="556">
        <v>3</v>
      </c>
      <c r="C85" t="s">
        <v>1501</v>
      </c>
      <c r="D85" s="1075" t="s">
        <v>1616</v>
      </c>
      <c r="E85" s="556">
        <f ca="1">VLOOKUP(A85,Data!C:I,7,FALSE)</f>
        <v>0</v>
      </c>
      <c r="F85" s="636" t="str">
        <f t="shared" si="20"/>
        <v>PR.AT-33</v>
      </c>
      <c r="G85" s="636" t="str">
        <f t="shared" ca="1" si="21"/>
        <v>PR.AT-330</v>
      </c>
      <c r="I85" s="1078" t="s">
        <v>1801</v>
      </c>
      <c r="J85" s="1076" t="s">
        <v>1582</v>
      </c>
      <c r="K85" s="637">
        <f t="shared" ca="1" si="22"/>
        <v>0</v>
      </c>
      <c r="L85" s="638">
        <f t="shared" si="23"/>
        <v>3</v>
      </c>
      <c r="M85" s="638">
        <f t="shared" ca="1" si="24"/>
        <v>0</v>
      </c>
      <c r="N85" s="637">
        <f t="shared" si="25"/>
        <v>0</v>
      </c>
      <c r="O85" s="638">
        <f t="shared" si="26"/>
        <v>0</v>
      </c>
      <c r="P85" s="638">
        <f t="shared" ca="1" si="27"/>
        <v>0</v>
      </c>
      <c r="Q85" s="637">
        <f t="shared" si="28"/>
        <v>0</v>
      </c>
      <c r="R85" s="638">
        <f t="shared" si="29"/>
        <v>0</v>
      </c>
      <c r="S85" s="638">
        <f t="shared" ca="1" si="30"/>
        <v>0</v>
      </c>
      <c r="T85" s="637">
        <f t="shared" ca="1" si="31"/>
        <v>0</v>
      </c>
      <c r="U85" s="638">
        <f t="shared" si="32"/>
        <v>3</v>
      </c>
      <c r="V85" s="638">
        <f t="shared" ca="1" si="33"/>
        <v>0</v>
      </c>
    </row>
    <row r="86" spans="1:22" x14ac:dyDescent="0.25">
      <c r="A86" t="s">
        <v>970</v>
      </c>
      <c r="B86" s="556">
        <v>3</v>
      </c>
      <c r="C86" t="s">
        <v>1501</v>
      </c>
      <c r="D86" s="1075" t="s">
        <v>1565</v>
      </c>
      <c r="E86" s="556">
        <f ca="1">VLOOKUP(A86,Data!C:I,7,FALSE)</f>
        <v>0</v>
      </c>
      <c r="F86" s="636" t="str">
        <f t="shared" si="20"/>
        <v>PR.AT-43</v>
      </c>
      <c r="G86" s="636" t="str">
        <f t="shared" ca="1" si="21"/>
        <v>PR.AT-430</v>
      </c>
      <c r="I86" s="1078" t="s">
        <v>1801</v>
      </c>
      <c r="J86" s="1076" t="s">
        <v>1577</v>
      </c>
      <c r="K86" s="637">
        <f t="shared" ca="1" si="22"/>
        <v>0</v>
      </c>
      <c r="L86" s="638">
        <f t="shared" si="23"/>
        <v>7</v>
      </c>
      <c r="M86" s="638">
        <f t="shared" ca="1" si="24"/>
        <v>0</v>
      </c>
      <c r="N86" s="637">
        <f t="shared" ca="1" si="25"/>
        <v>0</v>
      </c>
      <c r="O86" s="638">
        <f t="shared" si="26"/>
        <v>1</v>
      </c>
      <c r="P86" s="638">
        <f t="shared" ca="1" si="27"/>
        <v>0</v>
      </c>
      <c r="Q86" s="637">
        <f t="shared" ca="1" si="28"/>
        <v>0</v>
      </c>
      <c r="R86" s="638">
        <f t="shared" si="29"/>
        <v>3</v>
      </c>
      <c r="S86" s="638">
        <f t="shared" ca="1" si="30"/>
        <v>0</v>
      </c>
      <c r="T86" s="637">
        <f t="shared" ca="1" si="31"/>
        <v>0</v>
      </c>
      <c r="U86" s="638">
        <f t="shared" si="32"/>
        <v>3</v>
      </c>
      <c r="V86" s="638">
        <f t="shared" ca="1" si="33"/>
        <v>0</v>
      </c>
    </row>
    <row r="87" spans="1:22" x14ac:dyDescent="0.25">
      <c r="A87" t="s">
        <v>970</v>
      </c>
      <c r="B87" s="556">
        <v>3</v>
      </c>
      <c r="C87" t="s">
        <v>1501</v>
      </c>
      <c r="D87" s="1075" t="s">
        <v>1617</v>
      </c>
      <c r="E87" s="556">
        <f ca="1">VLOOKUP(A87,Data!C:I,7,FALSE)</f>
        <v>0</v>
      </c>
      <c r="F87" s="636" t="str">
        <f t="shared" si="20"/>
        <v>PR.AT-53</v>
      </c>
      <c r="G87" s="636" t="str">
        <f t="shared" ca="1" si="21"/>
        <v>PR.AT-530</v>
      </c>
      <c r="I87" s="1078" t="s">
        <v>1801</v>
      </c>
      <c r="J87" s="1076" t="s">
        <v>1586</v>
      </c>
      <c r="K87" s="637">
        <f t="shared" ca="1" si="22"/>
        <v>0</v>
      </c>
      <c r="L87" s="638">
        <f t="shared" si="23"/>
        <v>3</v>
      </c>
      <c r="M87" s="638">
        <f t="shared" ca="1" si="24"/>
        <v>0</v>
      </c>
      <c r="N87" s="637">
        <f t="shared" ca="1" si="25"/>
        <v>0</v>
      </c>
      <c r="O87" s="638">
        <f t="shared" si="26"/>
        <v>1</v>
      </c>
      <c r="P87" s="638">
        <f t="shared" ca="1" si="27"/>
        <v>0</v>
      </c>
      <c r="Q87" s="637">
        <f t="shared" ca="1" si="28"/>
        <v>0</v>
      </c>
      <c r="R87" s="638">
        <f t="shared" si="29"/>
        <v>2</v>
      </c>
      <c r="S87" s="638">
        <f t="shared" ca="1" si="30"/>
        <v>0</v>
      </c>
      <c r="T87" s="637">
        <f t="shared" si="31"/>
        <v>0</v>
      </c>
      <c r="U87" s="638">
        <f t="shared" si="32"/>
        <v>0</v>
      </c>
      <c r="V87" s="638">
        <f t="shared" ca="1" si="33"/>
        <v>0</v>
      </c>
    </row>
    <row r="88" spans="1:22" x14ac:dyDescent="0.25">
      <c r="A88" t="s">
        <v>971</v>
      </c>
      <c r="B88" s="556">
        <v>3</v>
      </c>
      <c r="C88" t="s">
        <v>1501</v>
      </c>
      <c r="D88" s="1075" t="s">
        <v>1619</v>
      </c>
      <c r="E88" s="556">
        <f ca="1">VLOOKUP(A88,Data!C:I,7,FALSE)</f>
        <v>0</v>
      </c>
      <c r="F88" s="636" t="str">
        <f t="shared" si="20"/>
        <v>PR.AT-13</v>
      </c>
      <c r="G88" s="636" t="str">
        <f t="shared" ca="1" si="21"/>
        <v>PR.AT-130</v>
      </c>
      <c r="I88" s="1078" t="s">
        <v>1801</v>
      </c>
      <c r="J88" s="1076" t="s">
        <v>1584</v>
      </c>
      <c r="K88" s="637">
        <f t="shared" ca="1" si="22"/>
        <v>0</v>
      </c>
      <c r="L88" s="638">
        <f t="shared" si="23"/>
        <v>5</v>
      </c>
      <c r="M88" s="638">
        <f t="shared" ca="1" si="24"/>
        <v>0</v>
      </c>
      <c r="N88" s="637">
        <f t="shared" ca="1" si="25"/>
        <v>0</v>
      </c>
      <c r="O88" s="638">
        <f t="shared" si="26"/>
        <v>1</v>
      </c>
      <c r="P88" s="638">
        <f t="shared" ca="1" si="27"/>
        <v>0</v>
      </c>
      <c r="Q88" s="637">
        <f t="shared" ca="1" si="28"/>
        <v>0</v>
      </c>
      <c r="R88" s="638">
        <f t="shared" si="29"/>
        <v>3</v>
      </c>
      <c r="S88" s="638">
        <f t="shared" ca="1" si="30"/>
        <v>0</v>
      </c>
      <c r="T88" s="637">
        <f t="shared" ca="1" si="31"/>
        <v>0</v>
      </c>
      <c r="U88" s="638">
        <f t="shared" si="32"/>
        <v>1</v>
      </c>
      <c r="V88" s="638">
        <f t="shared" ca="1" si="33"/>
        <v>0</v>
      </c>
    </row>
    <row r="89" spans="1:22" x14ac:dyDescent="0.25">
      <c r="A89" t="s">
        <v>972</v>
      </c>
      <c r="B89" s="556">
        <v>3</v>
      </c>
      <c r="C89" t="s">
        <v>1501</v>
      </c>
      <c r="D89" s="1075" t="s">
        <v>1781</v>
      </c>
      <c r="E89" s="556">
        <f ca="1">VLOOKUP(A89,Data!C:I,7,FALSE)</f>
        <v>0</v>
      </c>
      <c r="F89" s="636" t="str">
        <f t="shared" si="20"/>
        <v>PR.IP-73</v>
      </c>
      <c r="G89" s="636" t="str">
        <f t="shared" ca="1" si="21"/>
        <v>PR.IP-730</v>
      </c>
      <c r="I89" s="1078" t="s">
        <v>1809</v>
      </c>
      <c r="J89" s="1076" t="s">
        <v>1537</v>
      </c>
      <c r="K89" s="637">
        <f t="shared" ca="1" si="22"/>
        <v>0</v>
      </c>
      <c r="L89" s="638">
        <f t="shared" si="23"/>
        <v>9</v>
      </c>
      <c r="M89" s="638">
        <f t="shared" ca="1" si="24"/>
        <v>0</v>
      </c>
      <c r="N89" s="637">
        <f t="shared" ca="1" si="25"/>
        <v>0</v>
      </c>
      <c r="O89" s="638">
        <f t="shared" si="26"/>
        <v>3</v>
      </c>
      <c r="P89" s="638">
        <f t="shared" ca="1" si="27"/>
        <v>0</v>
      </c>
      <c r="Q89" s="637">
        <f t="shared" ca="1" si="28"/>
        <v>0</v>
      </c>
      <c r="R89" s="638">
        <f t="shared" si="29"/>
        <v>2</v>
      </c>
      <c r="S89" s="638">
        <f t="shared" ca="1" si="30"/>
        <v>0</v>
      </c>
      <c r="T89" s="637">
        <f t="shared" ca="1" si="31"/>
        <v>0</v>
      </c>
      <c r="U89" s="638">
        <f t="shared" si="32"/>
        <v>4</v>
      </c>
      <c r="V89" s="638">
        <f t="shared" ca="1" si="33"/>
        <v>0</v>
      </c>
    </row>
    <row r="90" spans="1:22" x14ac:dyDescent="0.25">
      <c r="A90" t="s">
        <v>305</v>
      </c>
      <c r="B90" s="556">
        <v>2</v>
      </c>
      <c r="C90" t="s">
        <v>446</v>
      </c>
      <c r="D90" s="1079" t="s">
        <v>1554</v>
      </c>
      <c r="E90" s="556">
        <f ca="1">VLOOKUP(A90,Data!C:I,7,FALSE)</f>
        <v>0</v>
      </c>
      <c r="F90" s="636" t="str">
        <f t="shared" si="20"/>
        <v>ID.AM-32</v>
      </c>
      <c r="G90" s="636" t="str">
        <f t="shared" ca="1" si="21"/>
        <v>ID.AM-320</v>
      </c>
      <c r="I90" s="1078" t="s">
        <v>1809</v>
      </c>
      <c r="J90" s="1076" t="s">
        <v>1527</v>
      </c>
      <c r="K90" s="637">
        <f t="shared" ca="1" si="22"/>
        <v>0</v>
      </c>
      <c r="L90" s="638">
        <f t="shared" si="23"/>
        <v>7</v>
      </c>
      <c r="M90" s="638">
        <f t="shared" ca="1" si="24"/>
        <v>0</v>
      </c>
      <c r="N90" s="637">
        <f t="shared" ca="1" si="25"/>
        <v>0</v>
      </c>
      <c r="O90" s="638">
        <f t="shared" si="26"/>
        <v>1</v>
      </c>
      <c r="P90" s="638">
        <f t="shared" ca="1" si="27"/>
        <v>0</v>
      </c>
      <c r="Q90" s="637">
        <f t="shared" ca="1" si="28"/>
        <v>0</v>
      </c>
      <c r="R90" s="638">
        <f t="shared" si="29"/>
        <v>2</v>
      </c>
      <c r="S90" s="638">
        <f t="shared" ca="1" si="30"/>
        <v>0</v>
      </c>
      <c r="T90" s="637">
        <f t="shared" ca="1" si="31"/>
        <v>0</v>
      </c>
      <c r="U90" s="638">
        <f t="shared" si="32"/>
        <v>4</v>
      </c>
      <c r="V90" s="638">
        <f t="shared" ca="1" si="33"/>
        <v>0</v>
      </c>
    </row>
    <row r="91" spans="1:22" x14ac:dyDescent="0.25">
      <c r="A91" t="s">
        <v>305</v>
      </c>
      <c r="B91" s="556">
        <v>2</v>
      </c>
      <c r="C91" t="s">
        <v>1502</v>
      </c>
      <c r="D91" s="1076" t="s">
        <v>1605</v>
      </c>
      <c r="E91" s="556">
        <f ca="1">VLOOKUP(A91,Data!C:I,7,FALSE)</f>
        <v>0</v>
      </c>
      <c r="F91" s="636" t="str">
        <f t="shared" si="20"/>
        <v>DE.AE-12</v>
      </c>
      <c r="G91" s="636" t="str">
        <f t="shared" ca="1" si="21"/>
        <v>DE.AE-120</v>
      </c>
      <c r="I91" s="1078" t="s">
        <v>1809</v>
      </c>
      <c r="J91" s="1076" t="s">
        <v>1523</v>
      </c>
      <c r="K91" s="637">
        <f t="shared" ca="1" si="22"/>
        <v>0</v>
      </c>
      <c r="L91" s="638">
        <f t="shared" si="23"/>
        <v>8</v>
      </c>
      <c r="M91" s="638">
        <f t="shared" ca="1" si="24"/>
        <v>0</v>
      </c>
      <c r="N91" s="637">
        <f t="shared" ca="1" si="25"/>
        <v>0</v>
      </c>
      <c r="O91" s="638">
        <f t="shared" si="26"/>
        <v>1</v>
      </c>
      <c r="P91" s="638">
        <f t="shared" ca="1" si="27"/>
        <v>0</v>
      </c>
      <c r="Q91" s="637">
        <f t="shared" ca="1" si="28"/>
        <v>0</v>
      </c>
      <c r="R91" s="638">
        <f t="shared" si="29"/>
        <v>3</v>
      </c>
      <c r="S91" s="638">
        <f t="shared" ca="1" si="30"/>
        <v>0</v>
      </c>
      <c r="T91" s="637">
        <f t="shared" ca="1" si="31"/>
        <v>0</v>
      </c>
      <c r="U91" s="638">
        <f t="shared" si="32"/>
        <v>4</v>
      </c>
      <c r="V91" s="638">
        <f t="shared" ca="1" si="33"/>
        <v>0</v>
      </c>
    </row>
    <row r="92" spans="1:22" x14ac:dyDescent="0.25">
      <c r="A92" t="s">
        <v>306</v>
      </c>
      <c r="B92" s="556">
        <v>2</v>
      </c>
      <c r="C92" t="s">
        <v>446</v>
      </c>
      <c r="D92" s="1079" t="s">
        <v>1566</v>
      </c>
      <c r="E92" s="556">
        <f ca="1">VLOOKUP(A92,Data!C:I,7,FALSE)</f>
        <v>0</v>
      </c>
      <c r="F92" s="636" t="str">
        <f t="shared" si="20"/>
        <v>ID.GV-42</v>
      </c>
      <c r="G92" s="636" t="str">
        <f t="shared" ca="1" si="21"/>
        <v>ID.GV-420</v>
      </c>
      <c r="I92" s="1078" t="s">
        <v>1809</v>
      </c>
      <c r="J92" s="1076" t="s">
        <v>1541</v>
      </c>
      <c r="K92" s="637">
        <f t="shared" ca="1" si="22"/>
        <v>0</v>
      </c>
      <c r="L92" s="638">
        <f t="shared" si="23"/>
        <v>5</v>
      </c>
      <c r="M92" s="638">
        <f t="shared" ca="1" si="24"/>
        <v>0</v>
      </c>
      <c r="N92" s="637">
        <f t="shared" ca="1" si="25"/>
        <v>0</v>
      </c>
      <c r="O92" s="638">
        <f t="shared" si="26"/>
        <v>2</v>
      </c>
      <c r="P92" s="638">
        <f t="shared" ca="1" si="27"/>
        <v>0</v>
      </c>
      <c r="Q92" s="637">
        <f t="shared" ca="1" si="28"/>
        <v>0</v>
      </c>
      <c r="R92" s="638">
        <f t="shared" si="29"/>
        <v>1</v>
      </c>
      <c r="S92" s="638">
        <f t="shared" ca="1" si="30"/>
        <v>0</v>
      </c>
      <c r="T92" s="637">
        <f t="shared" ca="1" si="31"/>
        <v>0</v>
      </c>
      <c r="U92" s="638">
        <f t="shared" si="32"/>
        <v>2</v>
      </c>
      <c r="V92" s="638">
        <f t="shared" ca="1" si="33"/>
        <v>0</v>
      </c>
    </row>
    <row r="93" spans="1:22" x14ac:dyDescent="0.25">
      <c r="A93" t="s">
        <v>308</v>
      </c>
      <c r="B93" s="556">
        <v>2</v>
      </c>
      <c r="C93" t="s">
        <v>446</v>
      </c>
      <c r="D93" s="1079" t="s">
        <v>1568</v>
      </c>
      <c r="E93" s="556">
        <f ca="1">VLOOKUP(A93,Data!C:I,7,FALSE)</f>
        <v>0</v>
      </c>
      <c r="F93" s="636" t="str">
        <f t="shared" si="20"/>
        <v>ID.BE-52</v>
      </c>
      <c r="G93" s="636" t="str">
        <f t="shared" ca="1" si="21"/>
        <v>ID.BE-520</v>
      </c>
      <c r="I93" s="1078" t="s">
        <v>1809</v>
      </c>
      <c r="J93" s="1076" t="s">
        <v>1545</v>
      </c>
      <c r="K93" s="637">
        <f t="shared" ca="1" si="22"/>
        <v>0</v>
      </c>
      <c r="L93" s="638">
        <f t="shared" si="23"/>
        <v>4</v>
      </c>
      <c r="M93" s="638">
        <f t="shared" ca="1" si="24"/>
        <v>0</v>
      </c>
      <c r="N93" s="637">
        <f t="shared" ca="1" si="25"/>
        <v>0</v>
      </c>
      <c r="O93" s="638">
        <f t="shared" si="26"/>
        <v>2</v>
      </c>
      <c r="P93" s="638">
        <f t="shared" ca="1" si="27"/>
        <v>0</v>
      </c>
      <c r="Q93" s="637">
        <f t="shared" si="28"/>
        <v>0</v>
      </c>
      <c r="R93" s="638">
        <f t="shared" si="29"/>
        <v>0</v>
      </c>
      <c r="S93" s="638">
        <f t="shared" ca="1" si="30"/>
        <v>0</v>
      </c>
      <c r="T93" s="637">
        <f t="shared" ca="1" si="31"/>
        <v>0</v>
      </c>
      <c r="U93" s="638">
        <f t="shared" si="32"/>
        <v>2</v>
      </c>
      <c r="V93" s="638">
        <f t="shared" ca="1" si="33"/>
        <v>0</v>
      </c>
    </row>
    <row r="94" spans="1:22" x14ac:dyDescent="0.25">
      <c r="A94" t="s">
        <v>308</v>
      </c>
      <c r="B94" s="556">
        <v>2</v>
      </c>
      <c r="C94" t="s">
        <v>446</v>
      </c>
      <c r="D94" s="1079" t="s">
        <v>1576</v>
      </c>
      <c r="E94" s="556">
        <f ca="1">VLOOKUP(A94,Data!C:I,7,FALSE)</f>
        <v>0</v>
      </c>
      <c r="F94" s="636" t="str">
        <f t="shared" si="20"/>
        <v>ID.GV-32</v>
      </c>
      <c r="G94" s="636" t="str">
        <f t="shared" ca="1" si="21"/>
        <v>ID.GV-320</v>
      </c>
      <c r="I94" s="1078" t="s">
        <v>1809</v>
      </c>
      <c r="J94" s="1076" t="s">
        <v>1524</v>
      </c>
      <c r="K94" s="637">
        <f t="shared" ca="1" si="22"/>
        <v>0</v>
      </c>
      <c r="L94" s="638">
        <f t="shared" si="23"/>
        <v>7</v>
      </c>
      <c r="M94" s="638">
        <f t="shared" ca="1" si="24"/>
        <v>0</v>
      </c>
      <c r="N94" s="637">
        <f t="shared" ca="1" si="25"/>
        <v>0</v>
      </c>
      <c r="O94" s="638">
        <f t="shared" si="26"/>
        <v>1</v>
      </c>
      <c r="P94" s="638">
        <f t="shared" ca="1" si="27"/>
        <v>0</v>
      </c>
      <c r="Q94" s="637">
        <f t="shared" ca="1" si="28"/>
        <v>0</v>
      </c>
      <c r="R94" s="638">
        <f t="shared" si="29"/>
        <v>2</v>
      </c>
      <c r="S94" s="638">
        <f t="shared" ca="1" si="30"/>
        <v>0</v>
      </c>
      <c r="T94" s="637">
        <f t="shared" ca="1" si="31"/>
        <v>0</v>
      </c>
      <c r="U94" s="638">
        <f t="shared" si="32"/>
        <v>4</v>
      </c>
      <c r="V94" s="638">
        <f t="shared" ca="1" si="33"/>
        <v>0</v>
      </c>
    </row>
    <row r="95" spans="1:22" x14ac:dyDescent="0.25">
      <c r="A95" t="s">
        <v>992</v>
      </c>
      <c r="B95" s="556">
        <v>3</v>
      </c>
      <c r="C95" t="s">
        <v>446</v>
      </c>
      <c r="D95" s="1079" t="s">
        <v>1568</v>
      </c>
      <c r="E95" s="556">
        <f ca="1">VLOOKUP(A95,Data!C:I,7,FALSE)</f>
        <v>0</v>
      </c>
      <c r="F95" s="636" t="str">
        <f t="shared" si="20"/>
        <v>ID.BE-53</v>
      </c>
      <c r="G95" s="636" t="str">
        <f t="shared" ca="1" si="21"/>
        <v>ID.BE-530</v>
      </c>
      <c r="I95" s="1078" t="s">
        <v>1809</v>
      </c>
      <c r="J95" s="1076" t="s">
        <v>1525</v>
      </c>
      <c r="K95" s="637">
        <f t="shared" ca="1" si="22"/>
        <v>0</v>
      </c>
      <c r="L95" s="638">
        <f t="shared" si="23"/>
        <v>14</v>
      </c>
      <c r="M95" s="638">
        <f t="shared" ca="1" si="24"/>
        <v>0</v>
      </c>
      <c r="N95" s="637">
        <f t="shared" ca="1" si="25"/>
        <v>0</v>
      </c>
      <c r="O95" s="638">
        <f t="shared" si="26"/>
        <v>2</v>
      </c>
      <c r="P95" s="638">
        <f t="shared" ca="1" si="27"/>
        <v>0</v>
      </c>
      <c r="Q95" s="637">
        <f t="shared" ca="1" si="28"/>
        <v>0</v>
      </c>
      <c r="R95" s="638">
        <f t="shared" si="29"/>
        <v>5</v>
      </c>
      <c r="S95" s="638">
        <f t="shared" ca="1" si="30"/>
        <v>0</v>
      </c>
      <c r="T95" s="637">
        <f t="shared" ca="1" si="31"/>
        <v>0</v>
      </c>
      <c r="U95" s="638">
        <f t="shared" si="32"/>
        <v>7</v>
      </c>
      <c r="V95" s="638">
        <f t="shared" ca="1" si="33"/>
        <v>0</v>
      </c>
    </row>
    <row r="96" spans="1:22" x14ac:dyDescent="0.25">
      <c r="A96" t="s">
        <v>312</v>
      </c>
      <c r="B96" s="556">
        <v>1</v>
      </c>
      <c r="C96" t="s">
        <v>1501</v>
      </c>
      <c r="D96" s="1077" t="s">
        <v>1526</v>
      </c>
      <c r="E96" s="556">
        <f ca="1">VLOOKUP(A96,Data!C:I,7,FALSE)</f>
        <v>0</v>
      </c>
      <c r="F96" s="636" t="str">
        <f t="shared" si="20"/>
        <v>PR.AC-21</v>
      </c>
      <c r="G96" s="636" t="str">
        <f t="shared" ca="1" si="21"/>
        <v>PR.AC-210</v>
      </c>
      <c r="I96" s="1078" t="s">
        <v>1809</v>
      </c>
      <c r="J96" s="1076" t="s">
        <v>1603</v>
      </c>
      <c r="K96" s="637">
        <f t="shared" ca="1" si="22"/>
        <v>0</v>
      </c>
      <c r="L96" s="638">
        <f t="shared" si="23"/>
        <v>2</v>
      </c>
      <c r="M96" s="638">
        <f t="shared" ca="1" si="24"/>
        <v>0</v>
      </c>
      <c r="N96" s="637">
        <f t="shared" ca="1" si="25"/>
        <v>0</v>
      </c>
      <c r="O96" s="638">
        <f t="shared" si="26"/>
        <v>1</v>
      </c>
      <c r="P96" s="638">
        <f t="shared" ca="1" si="27"/>
        <v>0</v>
      </c>
      <c r="Q96" s="637">
        <f t="shared" ca="1" si="28"/>
        <v>0</v>
      </c>
      <c r="R96" s="638">
        <f t="shared" si="29"/>
        <v>1</v>
      </c>
      <c r="S96" s="638">
        <f t="shared" ca="1" si="30"/>
        <v>0</v>
      </c>
      <c r="T96" s="637">
        <f t="shared" si="31"/>
        <v>0</v>
      </c>
      <c r="U96" s="638">
        <f t="shared" si="32"/>
        <v>0</v>
      </c>
      <c r="V96" s="638">
        <f t="shared" ca="1" si="33"/>
        <v>0</v>
      </c>
    </row>
    <row r="97" spans="1:22" x14ac:dyDescent="0.25">
      <c r="A97" t="s">
        <v>312</v>
      </c>
      <c r="B97" s="556">
        <v>1</v>
      </c>
      <c r="C97" t="s">
        <v>1501</v>
      </c>
      <c r="D97" s="1075" t="s">
        <v>1532</v>
      </c>
      <c r="E97" s="556">
        <f ca="1">VLOOKUP(A97,Data!C:I,7,FALSE)</f>
        <v>0</v>
      </c>
      <c r="F97" s="636" t="str">
        <f t="shared" si="20"/>
        <v>PR.AC-51</v>
      </c>
      <c r="G97" s="636" t="str">
        <f t="shared" ca="1" si="21"/>
        <v>PR.AC-510</v>
      </c>
      <c r="I97" s="1078" t="s">
        <v>1820</v>
      </c>
      <c r="J97" s="1076" t="s">
        <v>1578</v>
      </c>
      <c r="K97" s="637">
        <f t="shared" ca="1" si="22"/>
        <v>0</v>
      </c>
      <c r="L97" s="638">
        <f t="shared" si="23"/>
        <v>9</v>
      </c>
      <c r="M97" s="638">
        <f t="shared" ca="1" si="24"/>
        <v>0</v>
      </c>
      <c r="N97" s="637">
        <f t="shared" ca="1" si="25"/>
        <v>0</v>
      </c>
      <c r="O97" s="638">
        <f t="shared" si="26"/>
        <v>3</v>
      </c>
      <c r="P97" s="638">
        <f t="shared" ca="1" si="27"/>
        <v>0</v>
      </c>
      <c r="Q97" s="637">
        <f t="shared" ca="1" si="28"/>
        <v>0</v>
      </c>
      <c r="R97" s="638">
        <f t="shared" si="29"/>
        <v>3</v>
      </c>
      <c r="S97" s="638">
        <f t="shared" ca="1" si="30"/>
        <v>0</v>
      </c>
      <c r="T97" s="637">
        <f t="shared" ca="1" si="31"/>
        <v>0</v>
      </c>
      <c r="U97" s="638">
        <f t="shared" si="32"/>
        <v>3</v>
      </c>
      <c r="V97" s="638">
        <f t="shared" ca="1" si="33"/>
        <v>0</v>
      </c>
    </row>
    <row r="98" spans="1:22" x14ac:dyDescent="0.25">
      <c r="A98" t="s">
        <v>312</v>
      </c>
      <c r="B98" s="556">
        <v>1</v>
      </c>
      <c r="C98" t="s">
        <v>1501</v>
      </c>
      <c r="D98" s="1075" t="s">
        <v>1533</v>
      </c>
      <c r="E98" s="556">
        <f ca="1">VLOOKUP(A98,Data!C:I,7,FALSE)</f>
        <v>0</v>
      </c>
      <c r="F98" s="636" t="str">
        <f t="shared" si="20"/>
        <v>PR.PT-41</v>
      </c>
      <c r="G98" s="636" t="str">
        <f t="shared" ca="1" si="21"/>
        <v>PR.PT-410</v>
      </c>
      <c r="I98" s="1078" t="s">
        <v>1820</v>
      </c>
      <c r="J98" s="1076" t="s">
        <v>1580</v>
      </c>
      <c r="K98" s="637">
        <f t="shared" ca="1" si="22"/>
        <v>0</v>
      </c>
      <c r="L98" s="638">
        <f t="shared" si="23"/>
        <v>6</v>
      </c>
      <c r="M98" s="638">
        <f t="shared" ca="1" si="24"/>
        <v>0</v>
      </c>
      <c r="N98" s="637">
        <f t="shared" si="25"/>
        <v>0</v>
      </c>
      <c r="O98" s="638">
        <f t="shared" si="26"/>
        <v>0</v>
      </c>
      <c r="P98" s="638">
        <f t="shared" ca="1" si="27"/>
        <v>0</v>
      </c>
      <c r="Q98" s="637">
        <f t="shared" ca="1" si="28"/>
        <v>0</v>
      </c>
      <c r="R98" s="638">
        <f t="shared" si="29"/>
        <v>4</v>
      </c>
      <c r="S98" s="638">
        <f t="shared" ca="1" si="30"/>
        <v>0</v>
      </c>
      <c r="T98" s="637">
        <f t="shared" ca="1" si="31"/>
        <v>0</v>
      </c>
      <c r="U98" s="638">
        <f t="shared" si="32"/>
        <v>2</v>
      </c>
      <c r="V98" s="638">
        <f t="shared" ca="1" si="33"/>
        <v>0</v>
      </c>
    </row>
    <row r="99" spans="1:22" x14ac:dyDescent="0.25">
      <c r="A99" t="s">
        <v>313</v>
      </c>
      <c r="B99" s="556">
        <v>1</v>
      </c>
      <c r="C99" t="s">
        <v>1501</v>
      </c>
      <c r="D99" s="1075" t="s">
        <v>1532</v>
      </c>
      <c r="E99" s="556">
        <f ca="1">VLOOKUP(A99,Data!C:I,7,FALSE)</f>
        <v>0</v>
      </c>
      <c r="F99" s="636" t="str">
        <f t="shared" si="20"/>
        <v>PR.AC-51</v>
      </c>
      <c r="G99" s="636" t="str">
        <f t="shared" ca="1" si="21"/>
        <v>PR.AC-510</v>
      </c>
      <c r="I99" s="1078" t="s">
        <v>1820</v>
      </c>
      <c r="J99" s="1076" t="s">
        <v>1588</v>
      </c>
      <c r="K99" s="637">
        <f t="shared" ca="1" si="22"/>
        <v>0</v>
      </c>
      <c r="L99" s="638">
        <f t="shared" si="23"/>
        <v>5</v>
      </c>
      <c r="M99" s="638">
        <f t="shared" ca="1" si="24"/>
        <v>0</v>
      </c>
      <c r="N99" s="637">
        <f t="shared" ca="1" si="25"/>
        <v>0</v>
      </c>
      <c r="O99" s="638">
        <f t="shared" si="26"/>
        <v>1</v>
      </c>
      <c r="P99" s="638">
        <f t="shared" ca="1" si="27"/>
        <v>0</v>
      </c>
      <c r="Q99" s="637">
        <f t="shared" ca="1" si="28"/>
        <v>0</v>
      </c>
      <c r="R99" s="638">
        <f t="shared" si="29"/>
        <v>2</v>
      </c>
      <c r="S99" s="638">
        <f t="shared" ca="1" si="30"/>
        <v>0</v>
      </c>
      <c r="T99" s="637">
        <f t="shared" ca="1" si="31"/>
        <v>0</v>
      </c>
      <c r="U99" s="638">
        <f t="shared" si="32"/>
        <v>2</v>
      </c>
      <c r="V99" s="638">
        <f t="shared" ca="1" si="33"/>
        <v>0</v>
      </c>
    </row>
    <row r="100" spans="1:22" x14ac:dyDescent="0.25">
      <c r="A100" t="s">
        <v>313</v>
      </c>
      <c r="B100" s="556">
        <v>1</v>
      </c>
      <c r="C100" t="s">
        <v>1501</v>
      </c>
      <c r="D100" s="1075" t="s">
        <v>1533</v>
      </c>
      <c r="E100" s="556">
        <f ca="1">VLOOKUP(A100,Data!C:I,7,FALSE)</f>
        <v>0</v>
      </c>
      <c r="F100" s="636" t="str">
        <f t="shared" si="20"/>
        <v>PR.PT-41</v>
      </c>
      <c r="G100" s="636" t="str">
        <f t="shared" ca="1" si="21"/>
        <v>PR.PT-410</v>
      </c>
      <c r="I100" s="1078" t="s">
        <v>1820</v>
      </c>
      <c r="J100" s="1076" t="s">
        <v>1579</v>
      </c>
      <c r="K100" s="637">
        <f t="shared" ca="1" si="22"/>
        <v>0</v>
      </c>
      <c r="L100" s="638">
        <f t="shared" si="23"/>
        <v>5</v>
      </c>
      <c r="M100" s="638">
        <f t="shared" ca="1" si="24"/>
        <v>0</v>
      </c>
      <c r="N100" s="637">
        <f t="shared" ca="1" si="25"/>
        <v>0</v>
      </c>
      <c r="O100" s="638">
        <f t="shared" si="26"/>
        <v>1</v>
      </c>
      <c r="P100" s="638">
        <f t="shared" ca="1" si="27"/>
        <v>0</v>
      </c>
      <c r="Q100" s="637">
        <f t="shared" ca="1" si="28"/>
        <v>0</v>
      </c>
      <c r="R100" s="638">
        <f t="shared" si="29"/>
        <v>2</v>
      </c>
      <c r="S100" s="638">
        <f t="shared" ca="1" si="30"/>
        <v>0</v>
      </c>
      <c r="T100" s="637">
        <f t="shared" ca="1" si="31"/>
        <v>0</v>
      </c>
      <c r="U100" s="638">
        <f t="shared" si="32"/>
        <v>2</v>
      </c>
      <c r="V100" s="638">
        <f t="shared" ca="1" si="33"/>
        <v>0</v>
      </c>
    </row>
    <row r="101" spans="1:22" x14ac:dyDescent="0.25">
      <c r="A101" t="s">
        <v>314</v>
      </c>
      <c r="B101" s="556">
        <v>2</v>
      </c>
      <c r="C101" t="s">
        <v>1501</v>
      </c>
      <c r="D101" s="1075" t="s">
        <v>1518</v>
      </c>
      <c r="E101" s="556">
        <f ca="1">VLOOKUP(A101,Data!C:I,7,FALSE)</f>
        <v>0</v>
      </c>
      <c r="F101" s="636" t="str">
        <f t="shared" si="20"/>
        <v>PR.AC-32</v>
      </c>
      <c r="G101" s="636" t="str">
        <f t="shared" ca="1" si="21"/>
        <v>PR.AC-320</v>
      </c>
      <c r="I101" s="1078" t="s">
        <v>1820</v>
      </c>
      <c r="J101" s="1076" t="s">
        <v>1583</v>
      </c>
      <c r="K101" s="637">
        <f t="shared" ca="1" si="22"/>
        <v>0</v>
      </c>
      <c r="L101" s="638">
        <f t="shared" si="23"/>
        <v>6</v>
      </c>
      <c r="M101" s="638">
        <f t="shared" ca="1" si="24"/>
        <v>0</v>
      </c>
      <c r="N101" s="637">
        <f t="shared" si="25"/>
        <v>0</v>
      </c>
      <c r="O101" s="638">
        <f t="shared" si="26"/>
        <v>0</v>
      </c>
      <c r="P101" s="638">
        <f t="shared" ca="1" si="27"/>
        <v>0</v>
      </c>
      <c r="Q101" s="637">
        <f t="shared" ca="1" si="28"/>
        <v>0</v>
      </c>
      <c r="R101" s="638">
        <f t="shared" si="29"/>
        <v>2</v>
      </c>
      <c r="S101" s="638">
        <f t="shared" ca="1" si="30"/>
        <v>0</v>
      </c>
      <c r="T101" s="637">
        <f t="shared" ca="1" si="31"/>
        <v>0</v>
      </c>
      <c r="U101" s="638">
        <f t="shared" si="32"/>
        <v>4</v>
      </c>
      <c r="V101" s="638">
        <f t="shared" ca="1" si="33"/>
        <v>0</v>
      </c>
    </row>
    <row r="102" spans="1:22" x14ac:dyDescent="0.25">
      <c r="A102" t="s">
        <v>314</v>
      </c>
      <c r="B102" s="556">
        <v>2</v>
      </c>
      <c r="C102" t="s">
        <v>1501</v>
      </c>
      <c r="D102" s="1075" t="s">
        <v>1532</v>
      </c>
      <c r="E102" s="556">
        <f ca="1">VLOOKUP(A102,Data!C:I,7,FALSE)</f>
        <v>0</v>
      </c>
      <c r="F102" s="636" t="str">
        <f t="shared" si="20"/>
        <v>PR.AC-52</v>
      </c>
      <c r="G102" s="636" t="str">
        <f t="shared" ca="1" si="21"/>
        <v>PR.AC-520</v>
      </c>
      <c r="I102" s="1078" t="s">
        <v>1828</v>
      </c>
      <c r="J102" s="1080" t="s">
        <v>1570</v>
      </c>
      <c r="K102" s="637">
        <f t="shared" ca="1" si="22"/>
        <v>0</v>
      </c>
      <c r="L102" s="638">
        <f t="shared" si="23"/>
        <v>6</v>
      </c>
      <c r="M102" s="638">
        <f t="shared" ca="1" si="24"/>
        <v>0</v>
      </c>
      <c r="N102" s="637">
        <f t="shared" ca="1" si="25"/>
        <v>0</v>
      </c>
      <c r="O102" s="638">
        <f t="shared" si="26"/>
        <v>2</v>
      </c>
      <c r="P102" s="638">
        <f t="shared" ca="1" si="27"/>
        <v>0</v>
      </c>
      <c r="Q102" s="637">
        <f t="shared" ca="1" si="28"/>
        <v>0</v>
      </c>
      <c r="R102" s="638">
        <f t="shared" si="29"/>
        <v>2</v>
      </c>
      <c r="S102" s="638">
        <f t="shared" ca="1" si="30"/>
        <v>0</v>
      </c>
      <c r="T102" s="637">
        <f t="shared" ca="1" si="31"/>
        <v>0</v>
      </c>
      <c r="U102" s="638">
        <f t="shared" si="32"/>
        <v>2</v>
      </c>
      <c r="V102" s="638">
        <f t="shared" ca="1" si="33"/>
        <v>0</v>
      </c>
    </row>
    <row r="103" spans="1:22" x14ac:dyDescent="0.25">
      <c r="A103" t="s">
        <v>314</v>
      </c>
      <c r="B103" s="556">
        <v>2</v>
      </c>
      <c r="C103" t="s">
        <v>1501</v>
      </c>
      <c r="D103" s="1075" t="s">
        <v>1533</v>
      </c>
      <c r="E103" s="556">
        <f ca="1">VLOOKUP(A103,Data!C:I,7,FALSE)</f>
        <v>0</v>
      </c>
      <c r="F103" s="636" t="str">
        <f t="shared" si="20"/>
        <v>PR.PT-42</v>
      </c>
      <c r="G103" s="636" t="str">
        <f t="shared" ca="1" si="21"/>
        <v>PR.PT-420</v>
      </c>
      <c r="I103" s="1078" t="s">
        <v>1832</v>
      </c>
      <c r="J103" s="1080" t="s">
        <v>1571</v>
      </c>
      <c r="K103" s="637">
        <f t="shared" ca="1" si="22"/>
        <v>0</v>
      </c>
      <c r="L103" s="638">
        <f t="shared" si="23"/>
        <v>9</v>
      </c>
      <c r="M103" s="638">
        <f t="shared" ca="1" si="24"/>
        <v>0</v>
      </c>
      <c r="N103" s="637">
        <f t="shared" ca="1" si="25"/>
        <v>0</v>
      </c>
      <c r="O103" s="638">
        <f t="shared" si="26"/>
        <v>3</v>
      </c>
      <c r="P103" s="638">
        <f t="shared" ca="1" si="27"/>
        <v>0</v>
      </c>
      <c r="Q103" s="637">
        <f t="shared" ca="1" si="28"/>
        <v>0</v>
      </c>
      <c r="R103" s="638">
        <f t="shared" si="29"/>
        <v>3</v>
      </c>
      <c r="S103" s="638">
        <f t="shared" ca="1" si="30"/>
        <v>0</v>
      </c>
      <c r="T103" s="637">
        <f t="shared" ca="1" si="31"/>
        <v>0</v>
      </c>
      <c r="U103" s="638">
        <f t="shared" si="32"/>
        <v>3</v>
      </c>
      <c r="V103" s="638">
        <f t="shared" ca="1" si="33"/>
        <v>0</v>
      </c>
    </row>
    <row r="104" spans="1:22" x14ac:dyDescent="0.25">
      <c r="A104" t="s">
        <v>993</v>
      </c>
      <c r="B104" s="556">
        <v>2</v>
      </c>
      <c r="C104" t="s">
        <v>1501</v>
      </c>
      <c r="D104" s="1075" t="s">
        <v>1532</v>
      </c>
      <c r="E104" s="556">
        <f ca="1">VLOOKUP(A104,Data!C:I,7,FALSE)</f>
        <v>0</v>
      </c>
      <c r="F104" s="636" t="str">
        <f t="shared" si="20"/>
        <v>PR.AC-52</v>
      </c>
      <c r="G104" s="636" t="str">
        <f t="shared" ca="1" si="21"/>
        <v>PR.AC-520</v>
      </c>
      <c r="I104" s="1078" t="s">
        <v>1832</v>
      </c>
      <c r="J104" s="1080" t="s">
        <v>1574</v>
      </c>
      <c r="K104" s="637">
        <f t="shared" ca="1" si="22"/>
        <v>0</v>
      </c>
      <c r="L104" s="638">
        <f t="shared" si="23"/>
        <v>7</v>
      </c>
      <c r="M104" s="638">
        <f t="shared" ca="1" si="24"/>
        <v>0</v>
      </c>
      <c r="N104" s="637">
        <f t="shared" ca="1" si="25"/>
        <v>0</v>
      </c>
      <c r="O104" s="638">
        <f t="shared" si="26"/>
        <v>2</v>
      </c>
      <c r="P104" s="638">
        <f t="shared" ca="1" si="27"/>
        <v>0</v>
      </c>
      <c r="Q104" s="637">
        <f t="shared" ca="1" si="28"/>
        <v>0</v>
      </c>
      <c r="R104" s="638">
        <f t="shared" si="29"/>
        <v>4</v>
      </c>
      <c r="S104" s="638">
        <f t="shared" ca="1" si="30"/>
        <v>0</v>
      </c>
      <c r="T104" s="637">
        <f t="shared" ca="1" si="31"/>
        <v>0</v>
      </c>
      <c r="U104" s="638">
        <f t="shared" si="32"/>
        <v>1</v>
      </c>
      <c r="V104" s="638">
        <f t="shared" ca="1" si="33"/>
        <v>0</v>
      </c>
    </row>
    <row r="105" spans="1:22" x14ac:dyDescent="0.25">
      <c r="A105" t="s">
        <v>993</v>
      </c>
      <c r="B105" s="556">
        <v>2</v>
      </c>
      <c r="C105" t="s">
        <v>1501</v>
      </c>
      <c r="D105" s="1075" t="s">
        <v>1533</v>
      </c>
      <c r="E105" s="556">
        <f ca="1">VLOOKUP(A105,Data!C:I,7,FALSE)</f>
        <v>0</v>
      </c>
      <c r="F105" s="636" t="str">
        <f t="shared" si="20"/>
        <v>PR.PT-42</v>
      </c>
      <c r="G105" s="636" t="str">
        <f t="shared" ca="1" si="21"/>
        <v>PR.PT-420</v>
      </c>
      <c r="I105" s="1078" t="s">
        <v>1832</v>
      </c>
      <c r="J105" s="1080" t="s">
        <v>1575</v>
      </c>
      <c r="K105" s="637">
        <f t="shared" ca="1" si="22"/>
        <v>0</v>
      </c>
      <c r="L105" s="638">
        <f t="shared" si="23"/>
        <v>8</v>
      </c>
      <c r="M105" s="638">
        <f t="shared" ca="1" si="24"/>
        <v>0</v>
      </c>
      <c r="N105" s="637">
        <f t="shared" ca="1" si="25"/>
        <v>0</v>
      </c>
      <c r="O105" s="638">
        <f t="shared" si="26"/>
        <v>1</v>
      </c>
      <c r="P105" s="638">
        <f t="shared" ca="1" si="27"/>
        <v>0</v>
      </c>
      <c r="Q105" s="637">
        <f t="shared" ca="1" si="28"/>
        <v>0</v>
      </c>
      <c r="R105" s="638">
        <f t="shared" si="29"/>
        <v>5</v>
      </c>
      <c r="S105" s="638">
        <f t="shared" ca="1" si="30"/>
        <v>0</v>
      </c>
      <c r="T105" s="637">
        <f t="shared" ca="1" si="31"/>
        <v>0</v>
      </c>
      <c r="U105" s="638">
        <f t="shared" si="32"/>
        <v>2</v>
      </c>
      <c r="V105" s="638">
        <f t="shared" ca="1" si="33"/>
        <v>0</v>
      </c>
    </row>
    <row r="106" spans="1:22" x14ac:dyDescent="0.25">
      <c r="A106" t="s">
        <v>994</v>
      </c>
      <c r="B106" s="556">
        <v>2</v>
      </c>
      <c r="C106" t="s">
        <v>1501</v>
      </c>
      <c r="D106" s="1075" t="s">
        <v>1522</v>
      </c>
      <c r="E106" s="556">
        <f ca="1">VLOOKUP(A106,Data!C:I,7,FALSE)</f>
        <v>0</v>
      </c>
      <c r="F106" s="636" t="str">
        <f t="shared" si="20"/>
        <v>PR.AC-42</v>
      </c>
      <c r="G106" s="636" t="str">
        <f t="shared" ca="1" si="21"/>
        <v>PR.AC-420</v>
      </c>
      <c r="I106" s="1078" t="s">
        <v>1832</v>
      </c>
      <c r="J106" s="1080" t="s">
        <v>1573</v>
      </c>
      <c r="K106" s="637">
        <f t="shared" ca="1" si="22"/>
        <v>0</v>
      </c>
      <c r="L106" s="638">
        <f t="shared" si="23"/>
        <v>5</v>
      </c>
      <c r="M106" s="638">
        <f t="shared" ca="1" si="24"/>
        <v>0</v>
      </c>
      <c r="N106" s="637">
        <f t="shared" ca="1" si="25"/>
        <v>0</v>
      </c>
      <c r="O106" s="638">
        <f t="shared" si="26"/>
        <v>1</v>
      </c>
      <c r="P106" s="638">
        <f t="shared" ca="1" si="27"/>
        <v>0</v>
      </c>
      <c r="Q106" s="637">
        <f t="shared" ca="1" si="28"/>
        <v>0</v>
      </c>
      <c r="R106" s="638">
        <f t="shared" si="29"/>
        <v>2</v>
      </c>
      <c r="S106" s="638">
        <f t="shared" ca="1" si="30"/>
        <v>0</v>
      </c>
      <c r="T106" s="637">
        <f t="shared" ca="1" si="31"/>
        <v>0</v>
      </c>
      <c r="U106" s="638">
        <f t="shared" si="32"/>
        <v>2</v>
      </c>
      <c r="V106" s="638">
        <f t="shared" ca="1" si="33"/>
        <v>0</v>
      </c>
    </row>
    <row r="107" spans="1:22" x14ac:dyDescent="0.25">
      <c r="A107" t="s">
        <v>994</v>
      </c>
      <c r="B107" s="556">
        <v>2</v>
      </c>
      <c r="C107" t="s">
        <v>1501</v>
      </c>
      <c r="D107" s="1075" t="s">
        <v>1532</v>
      </c>
      <c r="E107" s="556">
        <f ca="1">VLOOKUP(A107,Data!C:I,7,FALSE)</f>
        <v>0</v>
      </c>
      <c r="F107" s="636" t="str">
        <f t="shared" si="20"/>
        <v>PR.AC-52</v>
      </c>
      <c r="G107" s="636" t="str">
        <f t="shared" ca="1" si="21"/>
        <v>PR.AC-520</v>
      </c>
      <c r="I107" s="1078" t="s">
        <v>1832</v>
      </c>
      <c r="J107" s="1080" t="s">
        <v>1606</v>
      </c>
      <c r="K107" s="637">
        <f t="shared" ca="1" si="22"/>
        <v>0</v>
      </c>
      <c r="L107" s="638">
        <f t="shared" si="23"/>
        <v>9</v>
      </c>
      <c r="M107" s="638">
        <f t="shared" ca="1" si="24"/>
        <v>0</v>
      </c>
      <c r="N107" s="637">
        <f t="shared" ca="1" si="25"/>
        <v>0</v>
      </c>
      <c r="O107" s="638">
        <f t="shared" si="26"/>
        <v>1</v>
      </c>
      <c r="P107" s="638">
        <f t="shared" ca="1" si="27"/>
        <v>0</v>
      </c>
      <c r="Q107" s="637">
        <f t="shared" ca="1" si="28"/>
        <v>0</v>
      </c>
      <c r="R107" s="638">
        <f t="shared" si="29"/>
        <v>4</v>
      </c>
      <c r="S107" s="638">
        <f t="shared" ca="1" si="30"/>
        <v>0</v>
      </c>
      <c r="T107" s="637">
        <f t="shared" ca="1" si="31"/>
        <v>0</v>
      </c>
      <c r="U107" s="638">
        <f t="shared" si="32"/>
        <v>4</v>
      </c>
      <c r="V107" s="638">
        <f t="shared" ca="1" si="33"/>
        <v>0</v>
      </c>
    </row>
    <row r="108" spans="1:22" x14ac:dyDescent="0.25">
      <c r="A108" t="s">
        <v>994</v>
      </c>
      <c r="B108" s="556">
        <v>2</v>
      </c>
      <c r="C108" t="s">
        <v>1501</v>
      </c>
      <c r="D108" s="1075" t="s">
        <v>1520</v>
      </c>
      <c r="E108" s="556">
        <f ca="1">VLOOKUP(A108,Data!C:I,7,FALSE)</f>
        <v>0</v>
      </c>
      <c r="F108" s="636" t="str">
        <f t="shared" si="20"/>
        <v>PR.PT-32</v>
      </c>
      <c r="G108" s="636" t="str">
        <f t="shared" ca="1" si="21"/>
        <v>PR.PT-320</v>
      </c>
      <c r="I108" s="1078" t="s">
        <v>1840</v>
      </c>
      <c r="J108" s="1080" t="s">
        <v>1581</v>
      </c>
      <c r="K108" s="637">
        <f t="shared" ca="1" si="22"/>
        <v>0</v>
      </c>
      <c r="L108" s="638">
        <f t="shared" si="23"/>
        <v>4</v>
      </c>
      <c r="M108" s="638">
        <f t="shared" ca="1" si="24"/>
        <v>0</v>
      </c>
      <c r="N108" s="637">
        <f t="shared" ca="1" si="25"/>
        <v>0</v>
      </c>
      <c r="O108" s="638">
        <f t="shared" si="26"/>
        <v>2</v>
      </c>
      <c r="P108" s="638">
        <f t="shared" ca="1" si="27"/>
        <v>0</v>
      </c>
      <c r="Q108" s="637">
        <f t="shared" si="28"/>
        <v>0</v>
      </c>
      <c r="R108" s="638">
        <f t="shared" si="29"/>
        <v>0</v>
      </c>
      <c r="S108" s="638">
        <f t="shared" ca="1" si="30"/>
        <v>0</v>
      </c>
      <c r="T108" s="637">
        <f t="shared" ca="1" si="31"/>
        <v>0</v>
      </c>
      <c r="U108" s="638">
        <f t="shared" si="32"/>
        <v>2</v>
      </c>
      <c r="V108" s="638">
        <f t="shared" ca="1" si="33"/>
        <v>0</v>
      </c>
    </row>
    <row r="109" spans="1:22" x14ac:dyDescent="0.25">
      <c r="A109" t="s">
        <v>994</v>
      </c>
      <c r="B109" s="556">
        <v>2</v>
      </c>
      <c r="C109" t="s">
        <v>1501</v>
      </c>
      <c r="D109" s="1075" t="s">
        <v>1533</v>
      </c>
      <c r="E109" s="556">
        <f ca="1">VLOOKUP(A109,Data!C:I,7,FALSE)</f>
        <v>0</v>
      </c>
      <c r="F109" s="636" t="str">
        <f t="shared" si="20"/>
        <v>PR.PT-42</v>
      </c>
      <c r="G109" s="636" t="str">
        <f t="shared" ca="1" si="21"/>
        <v>PR.PT-420</v>
      </c>
      <c r="I109" s="1078" t="s">
        <v>1840</v>
      </c>
      <c r="J109" s="1080" t="s">
        <v>1587</v>
      </c>
      <c r="K109" s="637">
        <f t="shared" ca="1" si="22"/>
        <v>0</v>
      </c>
      <c r="L109" s="638">
        <f t="shared" si="23"/>
        <v>4</v>
      </c>
      <c r="M109" s="638">
        <f t="shared" ca="1" si="24"/>
        <v>0</v>
      </c>
      <c r="N109" s="637">
        <f t="shared" si="25"/>
        <v>0</v>
      </c>
      <c r="O109" s="638">
        <f t="shared" si="26"/>
        <v>0</v>
      </c>
      <c r="P109" s="638">
        <f t="shared" ca="1" si="27"/>
        <v>0</v>
      </c>
      <c r="Q109" s="637">
        <f t="shared" ca="1" si="28"/>
        <v>0</v>
      </c>
      <c r="R109" s="638">
        <f t="shared" si="29"/>
        <v>2</v>
      </c>
      <c r="S109" s="638">
        <f t="shared" ca="1" si="30"/>
        <v>0</v>
      </c>
      <c r="T109" s="637">
        <f t="shared" ca="1" si="31"/>
        <v>0</v>
      </c>
      <c r="U109" s="638">
        <f t="shared" si="32"/>
        <v>2</v>
      </c>
      <c r="V109" s="638">
        <f t="shared" ca="1" si="33"/>
        <v>0</v>
      </c>
    </row>
    <row r="110" spans="1:22" x14ac:dyDescent="0.25">
      <c r="A110" t="s">
        <v>995</v>
      </c>
      <c r="B110" s="556">
        <v>2</v>
      </c>
      <c r="C110" t="s">
        <v>1501</v>
      </c>
      <c r="D110" s="1075" t="s">
        <v>1532</v>
      </c>
      <c r="E110" s="556">
        <f ca="1">VLOOKUP(A110,Data!C:I,7,FALSE)</f>
        <v>0</v>
      </c>
      <c r="F110" s="636" t="str">
        <f t="shared" si="20"/>
        <v>PR.AC-52</v>
      </c>
      <c r="G110" s="636" t="str">
        <f t="shared" ca="1" si="21"/>
        <v>PR.AC-520</v>
      </c>
      <c r="I110" s="1078" t="s">
        <v>1840</v>
      </c>
      <c r="J110" s="1080" t="s">
        <v>1599</v>
      </c>
      <c r="K110" s="637">
        <f t="shared" ca="1" si="22"/>
        <v>0</v>
      </c>
      <c r="L110" s="638">
        <f t="shared" si="23"/>
        <v>3</v>
      </c>
      <c r="M110" s="638">
        <f t="shared" ca="1" si="24"/>
        <v>0</v>
      </c>
      <c r="N110" s="637">
        <f t="shared" si="25"/>
        <v>0</v>
      </c>
      <c r="O110" s="638">
        <f t="shared" si="26"/>
        <v>0</v>
      </c>
      <c r="P110" s="638">
        <f t="shared" ca="1" si="27"/>
        <v>0</v>
      </c>
      <c r="Q110" s="637">
        <f t="shared" ca="1" si="28"/>
        <v>0</v>
      </c>
      <c r="R110" s="638">
        <f t="shared" si="29"/>
        <v>1</v>
      </c>
      <c r="S110" s="638">
        <f t="shared" ca="1" si="30"/>
        <v>0</v>
      </c>
      <c r="T110" s="637">
        <f t="shared" ca="1" si="31"/>
        <v>0</v>
      </c>
      <c r="U110" s="638">
        <f t="shared" si="32"/>
        <v>2</v>
      </c>
      <c r="V110" s="638">
        <f t="shared" ca="1" si="33"/>
        <v>0</v>
      </c>
    </row>
    <row r="111" spans="1:22" x14ac:dyDescent="0.25">
      <c r="A111" t="s">
        <v>995</v>
      </c>
      <c r="B111" s="556">
        <v>2</v>
      </c>
      <c r="C111" t="s">
        <v>1501</v>
      </c>
      <c r="D111" s="1075" t="s">
        <v>1533</v>
      </c>
      <c r="E111" s="556">
        <f ca="1">VLOOKUP(A111,Data!C:I,7,FALSE)</f>
        <v>0</v>
      </c>
      <c r="F111" s="636" t="str">
        <f t="shared" si="20"/>
        <v>PR.PT-42</v>
      </c>
      <c r="G111" s="636" t="str">
        <f t="shared" ca="1" si="21"/>
        <v>PR.PT-420</v>
      </c>
      <c r="I111" s="1078" t="s">
        <v>1840</v>
      </c>
      <c r="J111" s="1080" t="s">
        <v>1585</v>
      </c>
      <c r="K111" s="637">
        <f t="shared" ca="1" si="22"/>
        <v>0</v>
      </c>
      <c r="L111" s="638">
        <f t="shared" si="23"/>
        <v>4</v>
      </c>
      <c r="M111" s="638">
        <f t="shared" ca="1" si="24"/>
        <v>0</v>
      </c>
      <c r="N111" s="637">
        <f t="shared" ca="1" si="25"/>
        <v>0</v>
      </c>
      <c r="O111" s="638">
        <f t="shared" si="26"/>
        <v>1</v>
      </c>
      <c r="P111" s="638">
        <f t="shared" ca="1" si="27"/>
        <v>0</v>
      </c>
      <c r="Q111" s="637">
        <f t="shared" ca="1" si="28"/>
        <v>0</v>
      </c>
      <c r="R111" s="638">
        <f t="shared" si="29"/>
        <v>2</v>
      </c>
      <c r="S111" s="638">
        <f t="shared" ca="1" si="30"/>
        <v>0</v>
      </c>
      <c r="T111" s="637">
        <f t="shared" ca="1" si="31"/>
        <v>0</v>
      </c>
      <c r="U111" s="638">
        <f t="shared" si="32"/>
        <v>1</v>
      </c>
      <c r="V111" s="638">
        <f t="shared" ca="1" si="33"/>
        <v>0</v>
      </c>
    </row>
    <row r="112" spans="1:22" x14ac:dyDescent="0.25">
      <c r="A112" t="s">
        <v>995</v>
      </c>
      <c r="B112" s="556">
        <v>2</v>
      </c>
      <c r="C112" t="s">
        <v>1502</v>
      </c>
      <c r="D112" s="1076" t="s">
        <v>1537</v>
      </c>
      <c r="E112" s="556">
        <f ca="1">VLOOKUP(A112,Data!C:I,7,FALSE)</f>
        <v>0</v>
      </c>
      <c r="F112" s="636" t="str">
        <f t="shared" si="20"/>
        <v>DE.CM-12</v>
      </c>
      <c r="G112" s="636" t="str">
        <f t="shared" ca="1" si="21"/>
        <v>DE.CM-120</v>
      </c>
      <c r="I112" s="1078" t="s">
        <v>1840</v>
      </c>
      <c r="J112" s="1080" t="s">
        <v>1611</v>
      </c>
      <c r="K112" s="637">
        <f t="shared" ca="1" si="22"/>
        <v>0</v>
      </c>
      <c r="L112" s="638">
        <f t="shared" si="23"/>
        <v>12</v>
      </c>
      <c r="M112" s="638">
        <f t="shared" ca="1" si="24"/>
        <v>0</v>
      </c>
      <c r="N112" s="637">
        <f t="shared" ca="1" si="25"/>
        <v>0</v>
      </c>
      <c r="O112" s="638">
        <f t="shared" ref="O112:O121" si="34">COUNTIF($F:$F,CONCATENATE($J112,N$15))</f>
        <v>4</v>
      </c>
      <c r="P112" s="638">
        <f t="shared" ref="P112:P121" ca="1" si="35">COUNTIF($G:$G,CONCATENATE($J112,N$15,1))</f>
        <v>0</v>
      </c>
      <c r="Q112" s="637">
        <f t="shared" ca="1" si="28"/>
        <v>0</v>
      </c>
      <c r="R112" s="638">
        <f t="shared" ref="R112:R121" si="36">COUNTIF($F:$F,CONCATENATE($J112,Q$15))</f>
        <v>3</v>
      </c>
      <c r="S112" s="638">
        <f t="shared" ref="S112:S121" ca="1" si="37">COUNTIF($G:$G,CONCATENATE($J112,Q$15,1))</f>
        <v>0</v>
      </c>
      <c r="T112" s="637">
        <f t="shared" ca="1" si="31"/>
        <v>0</v>
      </c>
      <c r="U112" s="638">
        <f t="shared" ref="U112:U121" si="38">COUNTIF($F:$F,CONCATENATE($J112,T$15))</f>
        <v>5</v>
      </c>
      <c r="V112" s="638">
        <f t="shared" ref="V112:V121" ca="1" si="39">COUNTIF($G:$G,CONCATENATE($J112,T$15,1))</f>
        <v>0</v>
      </c>
    </row>
    <row r="113" spans="1:22" x14ac:dyDescent="0.25">
      <c r="A113" t="s">
        <v>995</v>
      </c>
      <c r="B113" s="556">
        <v>2</v>
      </c>
      <c r="C113" t="s">
        <v>1502</v>
      </c>
      <c r="D113" s="1076" t="s">
        <v>1525</v>
      </c>
      <c r="E113" s="556">
        <f ca="1">VLOOKUP(A113,Data!C:I,7,FALSE)</f>
        <v>0</v>
      </c>
      <c r="F113" s="636" t="str">
        <f t="shared" si="20"/>
        <v>DE.CM-72</v>
      </c>
      <c r="G113" s="636" t="str">
        <f t="shared" ca="1" si="21"/>
        <v>DE.CM-720</v>
      </c>
      <c r="I113" s="1078" t="s">
        <v>1848</v>
      </c>
      <c r="J113" s="1080" t="s">
        <v>1591</v>
      </c>
      <c r="K113" s="637">
        <f t="shared" ca="1" si="22"/>
        <v>0</v>
      </c>
      <c r="L113" s="638">
        <f t="shared" si="23"/>
        <v>3</v>
      </c>
      <c r="M113" s="638">
        <f t="shared" ca="1" si="24"/>
        <v>0</v>
      </c>
      <c r="N113" s="637">
        <f t="shared" ca="1" si="25"/>
        <v>0</v>
      </c>
      <c r="O113" s="638">
        <f t="shared" si="34"/>
        <v>1</v>
      </c>
      <c r="P113" s="638">
        <f t="shared" ca="1" si="35"/>
        <v>0</v>
      </c>
      <c r="Q113" s="637">
        <f t="shared" ca="1" si="28"/>
        <v>0</v>
      </c>
      <c r="R113" s="638">
        <f t="shared" si="36"/>
        <v>1</v>
      </c>
      <c r="S113" s="638">
        <f t="shared" ca="1" si="37"/>
        <v>0</v>
      </c>
      <c r="T113" s="637">
        <f t="shared" ca="1" si="31"/>
        <v>0</v>
      </c>
      <c r="U113" s="638">
        <f t="shared" si="38"/>
        <v>1</v>
      </c>
      <c r="V113" s="638">
        <f t="shared" ca="1" si="39"/>
        <v>0</v>
      </c>
    </row>
    <row r="114" spans="1:22" x14ac:dyDescent="0.25">
      <c r="A114" t="s">
        <v>996</v>
      </c>
      <c r="B114" s="556">
        <v>2</v>
      </c>
      <c r="C114" t="s">
        <v>1501</v>
      </c>
      <c r="D114" s="1075" t="s">
        <v>1533</v>
      </c>
      <c r="E114" s="556">
        <f ca="1">VLOOKUP(A114,Data!C:I,7,FALSE)</f>
        <v>0</v>
      </c>
      <c r="F114" s="636" t="str">
        <f t="shared" si="20"/>
        <v>PR.PT-42</v>
      </c>
      <c r="G114" s="636" t="str">
        <f t="shared" ca="1" si="21"/>
        <v>PR.PT-420</v>
      </c>
      <c r="I114" s="1078" t="s">
        <v>1848</v>
      </c>
      <c r="J114" s="1080" t="s">
        <v>1592</v>
      </c>
      <c r="K114" s="637">
        <f t="shared" ca="1" si="22"/>
        <v>0</v>
      </c>
      <c r="L114" s="638">
        <f t="shared" si="23"/>
        <v>2</v>
      </c>
      <c r="M114" s="638">
        <f t="shared" ca="1" si="24"/>
        <v>0</v>
      </c>
      <c r="N114" s="637">
        <f t="shared" ca="1" si="25"/>
        <v>0</v>
      </c>
      <c r="O114" s="638">
        <f t="shared" si="34"/>
        <v>1</v>
      </c>
      <c r="P114" s="638">
        <f t="shared" ca="1" si="35"/>
        <v>0</v>
      </c>
      <c r="Q114" s="637">
        <f t="shared" ca="1" si="28"/>
        <v>0</v>
      </c>
      <c r="R114" s="638">
        <f t="shared" si="36"/>
        <v>1</v>
      </c>
      <c r="S114" s="638">
        <f t="shared" ca="1" si="37"/>
        <v>0</v>
      </c>
      <c r="T114" s="637">
        <f t="shared" si="31"/>
        <v>0</v>
      </c>
      <c r="U114" s="638">
        <f t="shared" si="38"/>
        <v>0</v>
      </c>
      <c r="V114" s="638">
        <f t="shared" ca="1" si="39"/>
        <v>0</v>
      </c>
    </row>
    <row r="115" spans="1:22" x14ac:dyDescent="0.25">
      <c r="A115" t="s">
        <v>996</v>
      </c>
      <c r="B115" s="556">
        <v>2</v>
      </c>
      <c r="C115" t="s">
        <v>1502</v>
      </c>
      <c r="D115" s="1076" t="s">
        <v>1537</v>
      </c>
      <c r="E115" s="556">
        <f ca="1">VLOOKUP(A115,Data!C:I,7,FALSE)</f>
        <v>0</v>
      </c>
      <c r="F115" s="636" t="str">
        <f t="shared" si="20"/>
        <v>DE.CM-12</v>
      </c>
      <c r="G115" s="636" t="str">
        <f t="shared" ca="1" si="21"/>
        <v>DE.CM-120</v>
      </c>
      <c r="I115" s="1078" t="s">
        <v>1848</v>
      </c>
      <c r="J115" s="1080" t="s">
        <v>1601</v>
      </c>
      <c r="K115" s="637">
        <f t="shared" ca="1" si="22"/>
        <v>0</v>
      </c>
      <c r="L115" s="638">
        <f t="shared" si="23"/>
        <v>3</v>
      </c>
      <c r="M115" s="638">
        <f t="shared" ca="1" si="24"/>
        <v>0</v>
      </c>
      <c r="N115" s="637">
        <f t="shared" ca="1" si="25"/>
        <v>0</v>
      </c>
      <c r="O115" s="638">
        <f t="shared" si="34"/>
        <v>1</v>
      </c>
      <c r="P115" s="638">
        <f t="shared" ca="1" si="35"/>
        <v>0</v>
      </c>
      <c r="Q115" s="637">
        <f t="shared" ca="1" si="28"/>
        <v>0</v>
      </c>
      <c r="R115" s="638">
        <f t="shared" si="36"/>
        <v>1</v>
      </c>
      <c r="S115" s="638">
        <f t="shared" ca="1" si="37"/>
        <v>0</v>
      </c>
      <c r="T115" s="637">
        <f t="shared" ca="1" si="31"/>
        <v>0</v>
      </c>
      <c r="U115" s="638">
        <f t="shared" si="38"/>
        <v>1</v>
      </c>
      <c r="V115" s="638">
        <f t="shared" ca="1" si="39"/>
        <v>0</v>
      </c>
    </row>
    <row r="116" spans="1:22" x14ac:dyDescent="0.25">
      <c r="A116" t="s">
        <v>996</v>
      </c>
      <c r="B116" s="556">
        <v>2</v>
      </c>
      <c r="C116" t="s">
        <v>1502</v>
      </c>
      <c r="D116" s="1076" t="s">
        <v>1523</v>
      </c>
      <c r="E116" s="556">
        <f ca="1">VLOOKUP(A116,Data!C:I,7,FALSE)</f>
        <v>0</v>
      </c>
      <c r="F116" s="636" t="str">
        <f t="shared" si="20"/>
        <v>DE.CM-32</v>
      </c>
      <c r="G116" s="636" t="str">
        <f t="shared" ca="1" si="21"/>
        <v>DE.CM-320</v>
      </c>
      <c r="I116" s="1078" t="s">
        <v>1854</v>
      </c>
      <c r="J116" s="1080" t="s">
        <v>1597</v>
      </c>
      <c r="K116" s="637">
        <f t="shared" ca="1" si="22"/>
        <v>0</v>
      </c>
      <c r="L116" s="638">
        <f t="shared" si="23"/>
        <v>6</v>
      </c>
      <c r="M116" s="638">
        <f t="shared" ca="1" si="24"/>
        <v>0</v>
      </c>
      <c r="N116" s="637">
        <f t="shared" si="25"/>
        <v>0</v>
      </c>
      <c r="O116" s="638">
        <f t="shared" si="34"/>
        <v>0</v>
      </c>
      <c r="P116" s="638">
        <f t="shared" ca="1" si="35"/>
        <v>0</v>
      </c>
      <c r="Q116" s="637">
        <f t="shared" ca="1" si="28"/>
        <v>0</v>
      </c>
      <c r="R116" s="638">
        <f t="shared" si="36"/>
        <v>3</v>
      </c>
      <c r="S116" s="638">
        <f t="shared" ca="1" si="37"/>
        <v>0</v>
      </c>
      <c r="T116" s="637">
        <f t="shared" ca="1" si="31"/>
        <v>0</v>
      </c>
      <c r="U116" s="638">
        <f t="shared" si="38"/>
        <v>3</v>
      </c>
      <c r="V116" s="638">
        <f t="shared" ca="1" si="39"/>
        <v>0</v>
      </c>
    </row>
    <row r="117" spans="1:22" x14ac:dyDescent="0.25">
      <c r="A117" t="s">
        <v>997</v>
      </c>
      <c r="B117" s="556">
        <v>3</v>
      </c>
      <c r="C117" t="s">
        <v>1501</v>
      </c>
      <c r="D117" s="1075" t="s">
        <v>1532</v>
      </c>
      <c r="E117" s="556">
        <f ca="1">VLOOKUP(A117,Data!C:I,7,FALSE)</f>
        <v>0</v>
      </c>
      <c r="F117" s="636" t="str">
        <f t="shared" si="20"/>
        <v>PR.AC-53</v>
      </c>
      <c r="G117" s="636" t="str">
        <f t="shared" ca="1" si="21"/>
        <v>PR.AC-530</v>
      </c>
      <c r="I117" s="1078" t="s">
        <v>1854</v>
      </c>
      <c r="J117" s="1078" t="s">
        <v>1598</v>
      </c>
      <c r="K117" s="637">
        <f t="shared" ca="1" si="22"/>
        <v>0</v>
      </c>
      <c r="L117" s="638">
        <f t="shared" si="23"/>
        <v>7</v>
      </c>
      <c r="M117" s="638">
        <f t="shared" ca="1" si="24"/>
        <v>0</v>
      </c>
      <c r="N117" s="637">
        <f t="shared" si="25"/>
        <v>0</v>
      </c>
      <c r="O117" s="638">
        <f t="shared" si="34"/>
        <v>0</v>
      </c>
      <c r="P117" s="638">
        <f t="shared" ca="1" si="35"/>
        <v>0</v>
      </c>
      <c r="Q117" s="637">
        <f t="shared" ca="1" si="28"/>
        <v>0</v>
      </c>
      <c r="R117" s="638">
        <f t="shared" si="36"/>
        <v>3</v>
      </c>
      <c r="S117" s="638">
        <f t="shared" ca="1" si="37"/>
        <v>0</v>
      </c>
      <c r="T117" s="637">
        <f t="shared" ca="1" si="31"/>
        <v>0</v>
      </c>
      <c r="U117" s="638">
        <f t="shared" si="38"/>
        <v>4</v>
      </c>
      <c r="V117" s="638">
        <f t="shared" ca="1" si="39"/>
        <v>0</v>
      </c>
    </row>
    <row r="118" spans="1:22" x14ac:dyDescent="0.25">
      <c r="A118" t="s">
        <v>997</v>
      </c>
      <c r="B118" s="556">
        <v>3</v>
      </c>
      <c r="C118" t="s">
        <v>1501</v>
      </c>
      <c r="D118" s="1075" t="s">
        <v>1533</v>
      </c>
      <c r="E118" s="556">
        <f ca="1">VLOOKUP(A118,Data!C:I,7,FALSE)</f>
        <v>0</v>
      </c>
      <c r="F118" s="636" t="str">
        <f t="shared" si="20"/>
        <v>PR.PT-43</v>
      </c>
      <c r="G118" s="636" t="str">
        <f t="shared" ca="1" si="21"/>
        <v>PR.PT-430</v>
      </c>
      <c r="I118" s="1078" t="s">
        <v>1859</v>
      </c>
      <c r="J118" s="1084" t="s">
        <v>1590</v>
      </c>
      <c r="K118" s="637">
        <f t="shared" ca="1" si="22"/>
        <v>0</v>
      </c>
      <c r="L118" s="638">
        <f t="shared" si="23"/>
        <v>5</v>
      </c>
      <c r="M118" s="638">
        <f t="shared" ca="1" si="24"/>
        <v>0</v>
      </c>
      <c r="N118" s="637">
        <f t="shared" ca="1" si="25"/>
        <v>0</v>
      </c>
      <c r="O118" s="638">
        <f t="shared" si="34"/>
        <v>2</v>
      </c>
      <c r="P118" s="638">
        <f t="shared" ca="1" si="35"/>
        <v>0</v>
      </c>
      <c r="Q118" s="637">
        <f t="shared" ca="1" si="28"/>
        <v>0</v>
      </c>
      <c r="R118" s="638">
        <f t="shared" si="36"/>
        <v>2</v>
      </c>
      <c r="S118" s="638">
        <f t="shared" ca="1" si="37"/>
        <v>0</v>
      </c>
      <c r="T118" s="637">
        <f t="shared" ca="1" si="31"/>
        <v>0</v>
      </c>
      <c r="U118" s="638">
        <f t="shared" si="38"/>
        <v>1</v>
      </c>
      <c r="V118" s="638">
        <f t="shared" ca="1" si="39"/>
        <v>0</v>
      </c>
    </row>
    <row r="119" spans="1:22" x14ac:dyDescent="0.25">
      <c r="A119" t="s">
        <v>998</v>
      </c>
      <c r="B119" s="556">
        <v>3</v>
      </c>
      <c r="C119" t="s">
        <v>1501</v>
      </c>
      <c r="D119" s="1075" t="s">
        <v>1532</v>
      </c>
      <c r="E119" s="556">
        <f ca="1">VLOOKUP(A119,Data!C:I,7,FALSE)</f>
        <v>0</v>
      </c>
      <c r="F119" s="636" t="str">
        <f t="shared" si="20"/>
        <v>PR.AC-53</v>
      </c>
      <c r="G119" s="636" t="str">
        <f t="shared" ca="1" si="21"/>
        <v>PR.AC-530</v>
      </c>
      <c r="I119" s="1078" t="s">
        <v>1863</v>
      </c>
      <c r="J119" s="1084" t="s">
        <v>1595</v>
      </c>
      <c r="K119" s="637">
        <f t="shared" ca="1" si="22"/>
        <v>0</v>
      </c>
      <c r="L119" s="638">
        <f t="shared" si="23"/>
        <v>7</v>
      </c>
      <c r="M119" s="638">
        <f t="shared" ca="1" si="24"/>
        <v>0</v>
      </c>
      <c r="N119" s="637">
        <f t="shared" si="25"/>
        <v>0</v>
      </c>
      <c r="O119" s="638">
        <f t="shared" si="34"/>
        <v>0</v>
      </c>
      <c r="P119" s="638">
        <f t="shared" ca="1" si="35"/>
        <v>0</v>
      </c>
      <c r="Q119" s="637">
        <f t="shared" ca="1" si="28"/>
        <v>0</v>
      </c>
      <c r="R119" s="638">
        <f t="shared" si="36"/>
        <v>4</v>
      </c>
      <c r="S119" s="638">
        <f t="shared" ca="1" si="37"/>
        <v>0</v>
      </c>
      <c r="T119" s="637">
        <f t="shared" ca="1" si="31"/>
        <v>0</v>
      </c>
      <c r="U119" s="638">
        <f t="shared" si="38"/>
        <v>3</v>
      </c>
      <c r="V119" s="638">
        <f t="shared" ca="1" si="39"/>
        <v>0</v>
      </c>
    </row>
    <row r="120" spans="1:22" x14ac:dyDescent="0.25">
      <c r="A120" t="s">
        <v>998</v>
      </c>
      <c r="B120" s="556">
        <v>3</v>
      </c>
      <c r="C120" t="s">
        <v>1501</v>
      </c>
      <c r="D120" s="1075" t="s">
        <v>1533</v>
      </c>
      <c r="E120" s="556">
        <f ca="1">VLOOKUP(A120,Data!C:I,7,FALSE)</f>
        <v>0</v>
      </c>
      <c r="F120" s="636" t="str">
        <f t="shared" si="20"/>
        <v>PR.PT-43</v>
      </c>
      <c r="G120" s="636" t="str">
        <f t="shared" ca="1" si="21"/>
        <v>PR.PT-430</v>
      </c>
      <c r="I120" s="1078" t="s">
        <v>1863</v>
      </c>
      <c r="J120" s="1084" t="s">
        <v>1596</v>
      </c>
      <c r="K120" s="637">
        <f t="shared" ca="1" si="22"/>
        <v>0</v>
      </c>
      <c r="L120" s="638">
        <f t="shared" si="23"/>
        <v>6</v>
      </c>
      <c r="M120" s="638">
        <f t="shared" ca="1" si="24"/>
        <v>0</v>
      </c>
      <c r="N120" s="637">
        <f t="shared" si="25"/>
        <v>0</v>
      </c>
      <c r="O120" s="638">
        <f t="shared" si="34"/>
        <v>0</v>
      </c>
      <c r="P120" s="638">
        <f t="shared" ca="1" si="35"/>
        <v>0</v>
      </c>
      <c r="Q120" s="637">
        <f t="shared" ca="1" si="28"/>
        <v>0</v>
      </c>
      <c r="R120" s="638">
        <f t="shared" si="36"/>
        <v>2</v>
      </c>
      <c r="S120" s="638">
        <f t="shared" ca="1" si="37"/>
        <v>0</v>
      </c>
      <c r="T120" s="637">
        <f t="shared" ca="1" si="31"/>
        <v>0</v>
      </c>
      <c r="U120" s="638">
        <f t="shared" si="38"/>
        <v>4</v>
      </c>
      <c r="V120" s="638">
        <f t="shared" ca="1" si="39"/>
        <v>0</v>
      </c>
    </row>
    <row r="121" spans="1:22" x14ac:dyDescent="0.25">
      <c r="A121" t="s">
        <v>999</v>
      </c>
      <c r="B121" s="556">
        <v>3</v>
      </c>
      <c r="C121" t="s">
        <v>1501</v>
      </c>
      <c r="D121" s="1075" t="s">
        <v>1532</v>
      </c>
      <c r="E121" s="556">
        <f ca="1">VLOOKUP(A121,Data!C:I,7,FALSE)</f>
        <v>0</v>
      </c>
      <c r="F121" s="636" t="str">
        <f t="shared" si="20"/>
        <v>PR.AC-53</v>
      </c>
      <c r="G121" s="636" t="str">
        <f t="shared" ca="1" si="21"/>
        <v>PR.AC-530</v>
      </c>
      <c r="I121" s="1078" t="s">
        <v>1867</v>
      </c>
      <c r="J121" s="1084" t="s">
        <v>1869</v>
      </c>
      <c r="K121" s="637">
        <f t="shared" ca="1" si="22"/>
        <v>0</v>
      </c>
      <c r="L121" s="638">
        <f t="shared" si="23"/>
        <v>1</v>
      </c>
      <c r="M121" s="638">
        <f t="shared" ca="1" si="24"/>
        <v>0</v>
      </c>
      <c r="N121" s="637">
        <f t="shared" si="25"/>
        <v>0</v>
      </c>
      <c r="O121" s="638">
        <f t="shared" si="34"/>
        <v>0</v>
      </c>
      <c r="P121" s="638">
        <f t="shared" ca="1" si="35"/>
        <v>0</v>
      </c>
      <c r="Q121" s="637">
        <f t="shared" ca="1" si="28"/>
        <v>0</v>
      </c>
      <c r="R121" s="638">
        <f t="shared" si="36"/>
        <v>1</v>
      </c>
      <c r="S121" s="638">
        <f t="shared" ca="1" si="37"/>
        <v>0</v>
      </c>
      <c r="T121" s="637">
        <f t="shared" si="31"/>
        <v>0</v>
      </c>
      <c r="U121" s="638">
        <f t="shared" si="38"/>
        <v>0</v>
      </c>
      <c r="V121" s="638">
        <f t="shared" ca="1" si="39"/>
        <v>0</v>
      </c>
    </row>
    <row r="122" spans="1:22" x14ac:dyDescent="0.25">
      <c r="A122" t="s">
        <v>999</v>
      </c>
      <c r="B122" s="556">
        <v>3</v>
      </c>
      <c r="C122" t="s">
        <v>1501</v>
      </c>
      <c r="D122" s="1075" t="s">
        <v>1533</v>
      </c>
      <c r="E122" s="556">
        <f ca="1">VLOOKUP(A122,Data!C:I,7,FALSE)</f>
        <v>0</v>
      </c>
      <c r="F122" s="636" t="str">
        <f t="shared" si="20"/>
        <v>PR.PT-43</v>
      </c>
      <c r="G122" s="636" t="str">
        <f t="shared" ca="1" si="21"/>
        <v>PR.PT-430</v>
      </c>
      <c r="I122" s="1078" t="s">
        <v>1867</v>
      </c>
      <c r="J122" s="1084" t="s">
        <v>1593</v>
      </c>
      <c r="K122" s="637">
        <f t="shared" ref="K122:K123" ca="1" si="40">IF(L122=0,0,M122/L122)</f>
        <v>0</v>
      </c>
      <c r="L122" s="638">
        <f t="shared" ref="L122:L123" si="41">SUM(O122+R122+U122)</f>
        <v>1</v>
      </c>
      <c r="M122" s="638">
        <f t="shared" ref="M122:M123" ca="1" si="42">SUM(P122+S122+V122)</f>
        <v>0</v>
      </c>
      <c r="N122" s="637">
        <f t="shared" ref="N122:N123" si="43">IF(O122=0,0,P122/O122)</f>
        <v>0</v>
      </c>
      <c r="O122" s="638">
        <f t="shared" ref="O122:O123" si="44">COUNTIF($F:$F,CONCATENATE($J122,N$15))</f>
        <v>0</v>
      </c>
      <c r="P122" s="638">
        <f t="shared" ref="P122:P123" ca="1" si="45">COUNTIF($G:$G,CONCATENATE($J122,N$15,1))</f>
        <v>0</v>
      </c>
      <c r="Q122" s="637">
        <f t="shared" ref="Q122:Q123" ca="1" si="46">IF(R122=0,0,S122/R122)</f>
        <v>0</v>
      </c>
      <c r="R122" s="638">
        <f t="shared" ref="R122:R123" si="47">COUNTIF($F:$F,CONCATENATE($J122,Q$15))</f>
        <v>1</v>
      </c>
      <c r="S122" s="638">
        <f t="shared" ref="S122:S123" ca="1" si="48">COUNTIF($G:$G,CONCATENATE($J122,Q$15,1))</f>
        <v>0</v>
      </c>
      <c r="T122" s="637">
        <f t="shared" ref="T122:T123" si="49">IF(U122=0,0,V122/U122)</f>
        <v>0</v>
      </c>
      <c r="U122" s="638">
        <f t="shared" ref="U122:U123" si="50">COUNTIF($F:$F,CONCATENATE($J122,T$15))</f>
        <v>0</v>
      </c>
      <c r="V122" s="638">
        <f t="shared" ref="V122:V123" ca="1" si="51">COUNTIF($G:$G,CONCATENATE($J122,T$15,1))</f>
        <v>0</v>
      </c>
    </row>
    <row r="123" spans="1:22" x14ac:dyDescent="0.25">
      <c r="A123" t="s">
        <v>1000</v>
      </c>
      <c r="B123" s="556">
        <v>3</v>
      </c>
      <c r="C123" t="s">
        <v>1501</v>
      </c>
      <c r="D123" s="1075" t="s">
        <v>1532</v>
      </c>
      <c r="E123" s="556">
        <f ca="1">VLOOKUP(A123,Data!C:I,7,FALSE)</f>
        <v>0</v>
      </c>
      <c r="F123" s="636" t="str">
        <f t="shared" si="20"/>
        <v>PR.AC-53</v>
      </c>
      <c r="G123" s="636" t="str">
        <f t="shared" ca="1" si="21"/>
        <v>PR.AC-530</v>
      </c>
      <c r="I123" s="1078" t="s">
        <v>1867</v>
      </c>
      <c r="J123" s="1084" t="s">
        <v>1589</v>
      </c>
      <c r="K123" s="637">
        <f t="shared" ca="1" si="40"/>
        <v>0</v>
      </c>
      <c r="L123" s="638">
        <f t="shared" si="41"/>
        <v>4</v>
      </c>
      <c r="M123" s="638">
        <f t="shared" ca="1" si="42"/>
        <v>0</v>
      </c>
      <c r="N123" s="637">
        <f t="shared" si="43"/>
        <v>0</v>
      </c>
      <c r="O123" s="638">
        <f t="shared" si="44"/>
        <v>0</v>
      </c>
      <c r="P123" s="638">
        <f t="shared" ca="1" si="45"/>
        <v>0</v>
      </c>
      <c r="Q123" s="637">
        <f t="shared" ca="1" si="46"/>
        <v>0</v>
      </c>
      <c r="R123" s="638">
        <f t="shared" si="47"/>
        <v>2</v>
      </c>
      <c r="S123" s="638">
        <f t="shared" ca="1" si="48"/>
        <v>0</v>
      </c>
      <c r="T123" s="637">
        <f t="shared" ca="1" si="49"/>
        <v>0</v>
      </c>
      <c r="U123" s="638">
        <f t="shared" si="50"/>
        <v>2</v>
      </c>
      <c r="V123" s="638">
        <f t="shared" ca="1" si="51"/>
        <v>0</v>
      </c>
    </row>
    <row r="124" spans="1:22" x14ac:dyDescent="0.25">
      <c r="A124" t="s">
        <v>1000</v>
      </c>
      <c r="B124" s="556">
        <v>3</v>
      </c>
      <c r="C124" t="s">
        <v>1501</v>
      </c>
      <c r="D124" s="1075" t="s">
        <v>1517</v>
      </c>
      <c r="E124" s="556">
        <f ca="1">VLOOKUP(A124,Data!C:I,7,FALSE)</f>
        <v>0</v>
      </c>
      <c r="F124" s="636" t="str">
        <f t="shared" si="20"/>
        <v>PR.AC-73</v>
      </c>
      <c r="G124" s="636" t="str">
        <f t="shared" ca="1" si="21"/>
        <v>PR.AC-730</v>
      </c>
    </row>
    <row r="125" spans="1:22" x14ac:dyDescent="0.25">
      <c r="A125" t="s">
        <v>1000</v>
      </c>
      <c r="B125" s="556">
        <v>3</v>
      </c>
      <c r="C125" t="s">
        <v>1501</v>
      </c>
      <c r="D125" s="1075" t="s">
        <v>1533</v>
      </c>
      <c r="E125" s="556">
        <f ca="1">VLOOKUP(A125,Data!C:I,7,FALSE)</f>
        <v>0</v>
      </c>
      <c r="F125" s="636" t="str">
        <f t="shared" si="20"/>
        <v>PR.PT-43</v>
      </c>
      <c r="G125" s="636" t="str">
        <f t="shared" ca="1" si="21"/>
        <v>PR.PT-430</v>
      </c>
    </row>
    <row r="126" spans="1:22" x14ac:dyDescent="0.25">
      <c r="A126" t="s">
        <v>1000</v>
      </c>
      <c r="B126" s="556">
        <v>3</v>
      </c>
      <c r="C126" t="s">
        <v>1502</v>
      </c>
      <c r="D126" s="1076" t="s">
        <v>1525</v>
      </c>
      <c r="E126" s="556">
        <f ca="1">VLOOKUP(A126,Data!C:I,7,FALSE)</f>
        <v>0</v>
      </c>
      <c r="F126" s="636" t="str">
        <f t="shared" si="20"/>
        <v>DE.CM-73</v>
      </c>
      <c r="G126" s="636" t="str">
        <f t="shared" ca="1" si="21"/>
        <v>DE.CM-730</v>
      </c>
    </row>
    <row r="127" spans="1:22" x14ac:dyDescent="0.25">
      <c r="A127" t="s">
        <v>1001</v>
      </c>
      <c r="B127" s="556">
        <v>3</v>
      </c>
      <c r="C127" t="s">
        <v>1501</v>
      </c>
      <c r="D127" s="1075" t="s">
        <v>1533</v>
      </c>
      <c r="E127" s="556">
        <f ca="1">VLOOKUP(A127,Data!C:I,7,FALSE)</f>
        <v>0</v>
      </c>
      <c r="F127" s="636" t="str">
        <f t="shared" si="20"/>
        <v>PR.PT-43</v>
      </c>
      <c r="G127" s="636" t="str">
        <f t="shared" ca="1" si="21"/>
        <v>PR.PT-430</v>
      </c>
    </row>
    <row r="128" spans="1:22" x14ac:dyDescent="0.25">
      <c r="A128" t="s">
        <v>1001</v>
      </c>
      <c r="B128" s="556">
        <v>3</v>
      </c>
      <c r="C128" t="s">
        <v>1503</v>
      </c>
      <c r="D128" s="1080" t="s">
        <v>1591</v>
      </c>
      <c r="E128" s="556">
        <f ca="1">VLOOKUP(A128,Data!C:I,7,FALSE)</f>
        <v>0</v>
      </c>
      <c r="F128" s="636" t="str">
        <f t="shared" si="20"/>
        <v>RS.MI-13</v>
      </c>
      <c r="G128" s="636" t="str">
        <f t="shared" ca="1" si="21"/>
        <v>RS.MI-130</v>
      </c>
    </row>
    <row r="129" spans="1:7" x14ac:dyDescent="0.25">
      <c r="A129" t="s">
        <v>315</v>
      </c>
      <c r="B129" s="556">
        <v>1</v>
      </c>
      <c r="C129" t="s">
        <v>1501</v>
      </c>
      <c r="D129" s="1077" t="s">
        <v>1526</v>
      </c>
      <c r="E129" s="556">
        <f ca="1">VLOOKUP(A129,Data!C:I,7,FALSE)</f>
        <v>0</v>
      </c>
      <c r="F129" s="636" t="str">
        <f t="shared" si="20"/>
        <v>PR.AC-21</v>
      </c>
      <c r="G129" s="636" t="str">
        <f t="shared" ca="1" si="21"/>
        <v>PR.AC-210</v>
      </c>
    </row>
    <row r="130" spans="1:7" x14ac:dyDescent="0.25">
      <c r="A130" t="s">
        <v>315</v>
      </c>
      <c r="B130" s="556">
        <v>1</v>
      </c>
      <c r="C130" t="s">
        <v>1501</v>
      </c>
      <c r="D130" s="1075" t="s">
        <v>1518</v>
      </c>
      <c r="E130" s="556">
        <f ca="1">VLOOKUP(A130,Data!C:I,7,FALSE)</f>
        <v>0</v>
      </c>
      <c r="F130" s="636" t="str">
        <f t="shared" si="20"/>
        <v>PR.AC-31</v>
      </c>
      <c r="G130" s="636" t="str">
        <f t="shared" ca="1" si="21"/>
        <v>PR.AC-310</v>
      </c>
    </row>
    <row r="131" spans="1:7" x14ac:dyDescent="0.25">
      <c r="A131" t="s">
        <v>315</v>
      </c>
      <c r="B131" s="556">
        <v>1</v>
      </c>
      <c r="C131" t="s">
        <v>1501</v>
      </c>
      <c r="D131" s="1075" t="s">
        <v>1517</v>
      </c>
      <c r="E131" s="556">
        <f ca="1">VLOOKUP(A131,Data!C:I,7,FALSE)</f>
        <v>0</v>
      </c>
      <c r="F131" s="636" t="str">
        <f t="shared" ref="F131:F194" si="52">CONCATENATE($D131,$B131)</f>
        <v>PR.AC-71</v>
      </c>
      <c r="G131" s="636" t="str">
        <f t="shared" ref="G131:G194" ca="1" si="53">_xlfn.IFNA(CONCATENATE(F131,$E131),CONCATENATE(F131,$E131,0))</f>
        <v>PR.AC-710</v>
      </c>
    </row>
    <row r="132" spans="1:7" x14ac:dyDescent="0.25">
      <c r="A132" t="s">
        <v>316</v>
      </c>
      <c r="B132" s="556">
        <v>1</v>
      </c>
      <c r="C132" t="s">
        <v>1501</v>
      </c>
      <c r="D132" s="1075" t="s">
        <v>1555</v>
      </c>
      <c r="E132" s="556">
        <f ca="1">VLOOKUP(A132,Data!C:I,7,FALSE)</f>
        <v>0</v>
      </c>
      <c r="F132" s="636" t="str">
        <f t="shared" si="52"/>
        <v>PR.IP-11</v>
      </c>
      <c r="G132" s="636" t="str">
        <f t="shared" ca="1" si="53"/>
        <v>PR.IP-110</v>
      </c>
    </row>
    <row r="133" spans="1:7" x14ac:dyDescent="0.25">
      <c r="A133" t="s">
        <v>316</v>
      </c>
      <c r="B133" s="556">
        <v>1</v>
      </c>
      <c r="C133" t="s">
        <v>1502</v>
      </c>
      <c r="D133" s="1076" t="s">
        <v>1541</v>
      </c>
      <c r="E133" s="556">
        <f ca="1">VLOOKUP(A133,Data!C:I,7,FALSE)</f>
        <v>0</v>
      </c>
      <c r="F133" s="636" t="str">
        <f t="shared" si="52"/>
        <v>DE.CM-41</v>
      </c>
      <c r="G133" s="636" t="str">
        <f t="shared" ca="1" si="53"/>
        <v>DE.CM-410</v>
      </c>
    </row>
    <row r="134" spans="1:7" x14ac:dyDescent="0.25">
      <c r="A134" t="s">
        <v>316</v>
      </c>
      <c r="B134" s="556">
        <v>1</v>
      </c>
      <c r="C134" t="s">
        <v>1502</v>
      </c>
      <c r="D134" s="1076" t="s">
        <v>1545</v>
      </c>
      <c r="E134" s="556">
        <f ca="1">VLOOKUP(A134,Data!C:I,7,FALSE)</f>
        <v>0</v>
      </c>
      <c r="F134" s="636" t="str">
        <f t="shared" si="52"/>
        <v>DE.CM-51</v>
      </c>
      <c r="G134" s="636" t="str">
        <f t="shared" ca="1" si="53"/>
        <v>DE.CM-510</v>
      </c>
    </row>
    <row r="135" spans="1:7" x14ac:dyDescent="0.25">
      <c r="A135" t="s">
        <v>316</v>
      </c>
      <c r="B135" s="556">
        <v>1</v>
      </c>
      <c r="C135" t="s">
        <v>1502</v>
      </c>
      <c r="D135" s="1076" t="s">
        <v>1525</v>
      </c>
      <c r="E135" s="556">
        <f ca="1">VLOOKUP(A135,Data!C:I,7,FALSE)</f>
        <v>0</v>
      </c>
      <c r="F135" s="636" t="str">
        <f t="shared" si="52"/>
        <v>DE.CM-71</v>
      </c>
      <c r="G135" s="636" t="str">
        <f t="shared" ca="1" si="53"/>
        <v>DE.CM-710</v>
      </c>
    </row>
    <row r="136" spans="1:7" x14ac:dyDescent="0.25">
      <c r="A136" t="s">
        <v>317</v>
      </c>
      <c r="B136" s="556">
        <v>2</v>
      </c>
      <c r="C136" t="s">
        <v>1501</v>
      </c>
      <c r="D136" s="1075" t="s">
        <v>1522</v>
      </c>
      <c r="E136" s="556">
        <f ca="1">VLOOKUP(A136,Data!C:I,7,FALSE)</f>
        <v>0</v>
      </c>
      <c r="F136" s="636" t="str">
        <f t="shared" si="52"/>
        <v>PR.AC-42</v>
      </c>
      <c r="G136" s="636" t="str">
        <f t="shared" ca="1" si="53"/>
        <v>PR.AC-420</v>
      </c>
    </row>
    <row r="137" spans="1:7" x14ac:dyDescent="0.25">
      <c r="A137" t="s">
        <v>317</v>
      </c>
      <c r="B137" s="556">
        <v>2</v>
      </c>
      <c r="C137" t="s">
        <v>1501</v>
      </c>
      <c r="D137" s="1075" t="s">
        <v>1555</v>
      </c>
      <c r="E137" s="556">
        <f ca="1">VLOOKUP(A137,Data!C:I,7,FALSE)</f>
        <v>0</v>
      </c>
      <c r="F137" s="636" t="str">
        <f t="shared" si="52"/>
        <v>PR.IP-12</v>
      </c>
      <c r="G137" s="636" t="str">
        <f t="shared" ca="1" si="53"/>
        <v>PR.IP-120</v>
      </c>
    </row>
    <row r="138" spans="1:7" x14ac:dyDescent="0.25">
      <c r="A138" t="s">
        <v>318</v>
      </c>
      <c r="B138" s="556">
        <v>2</v>
      </c>
      <c r="C138" t="s">
        <v>1501</v>
      </c>
      <c r="D138" s="1075" t="s">
        <v>1555</v>
      </c>
      <c r="E138" s="556">
        <f ca="1">VLOOKUP(A138,Data!C:I,7,FALSE)</f>
        <v>0</v>
      </c>
      <c r="F138" s="636" t="str">
        <f t="shared" si="52"/>
        <v>PR.IP-12</v>
      </c>
      <c r="G138" s="636" t="str">
        <f t="shared" ca="1" si="53"/>
        <v>PR.IP-120</v>
      </c>
    </row>
    <row r="139" spans="1:7" x14ac:dyDescent="0.25">
      <c r="A139" t="s">
        <v>318</v>
      </c>
      <c r="B139" s="556">
        <v>2</v>
      </c>
      <c r="C139" t="s">
        <v>1501</v>
      </c>
      <c r="D139" s="1075" t="s">
        <v>1520</v>
      </c>
      <c r="E139" s="556">
        <f ca="1">VLOOKUP(A139,Data!C:I,7,FALSE)</f>
        <v>0</v>
      </c>
      <c r="F139" s="636" t="str">
        <f t="shared" si="52"/>
        <v>PR.PT-32</v>
      </c>
      <c r="G139" s="636" t="str">
        <f t="shared" ca="1" si="53"/>
        <v>PR.PT-320</v>
      </c>
    </row>
    <row r="140" spans="1:7" x14ac:dyDescent="0.25">
      <c r="A140" t="s">
        <v>1002</v>
      </c>
      <c r="B140" s="556">
        <v>2</v>
      </c>
      <c r="C140" t="s">
        <v>1501</v>
      </c>
      <c r="D140" s="1075" t="s">
        <v>1555</v>
      </c>
      <c r="E140" s="556">
        <f ca="1">VLOOKUP(A140,Data!C:I,7,FALSE)</f>
        <v>0</v>
      </c>
      <c r="F140" s="636" t="str">
        <f t="shared" si="52"/>
        <v>PR.IP-12</v>
      </c>
      <c r="G140" s="636" t="str">
        <f t="shared" ca="1" si="53"/>
        <v>PR.IP-120</v>
      </c>
    </row>
    <row r="141" spans="1:7" x14ac:dyDescent="0.25">
      <c r="A141" t="s">
        <v>1002</v>
      </c>
      <c r="B141" s="556">
        <v>2</v>
      </c>
      <c r="C141" t="s">
        <v>1501</v>
      </c>
      <c r="D141" s="1075" t="s">
        <v>1520</v>
      </c>
      <c r="E141" s="556">
        <f ca="1">VLOOKUP(A141,Data!C:I,7,FALSE)</f>
        <v>0</v>
      </c>
      <c r="F141" s="636" t="str">
        <f t="shared" si="52"/>
        <v>PR.PT-32</v>
      </c>
      <c r="G141" s="636" t="str">
        <f t="shared" ca="1" si="53"/>
        <v>PR.PT-320</v>
      </c>
    </row>
    <row r="142" spans="1:7" x14ac:dyDescent="0.25">
      <c r="A142" t="s">
        <v>1003</v>
      </c>
      <c r="B142" s="556">
        <v>2</v>
      </c>
      <c r="C142" t="s">
        <v>1502</v>
      </c>
      <c r="D142" s="1076" t="s">
        <v>1541</v>
      </c>
      <c r="E142" s="556">
        <f ca="1">VLOOKUP(A142,Data!C:I,7,FALSE)</f>
        <v>0</v>
      </c>
      <c r="F142" s="636" t="str">
        <f t="shared" si="52"/>
        <v>DE.CM-42</v>
      </c>
      <c r="G142" s="636" t="str">
        <f t="shared" ca="1" si="53"/>
        <v>DE.CM-420</v>
      </c>
    </row>
    <row r="143" spans="1:7" x14ac:dyDescent="0.25">
      <c r="A143" t="s">
        <v>1004</v>
      </c>
      <c r="B143" s="556">
        <v>2</v>
      </c>
      <c r="C143" t="s">
        <v>1501</v>
      </c>
      <c r="D143" s="1075" t="s">
        <v>1519</v>
      </c>
      <c r="E143" s="556">
        <f ca="1">VLOOKUP(A143,Data!C:I,7,FALSE)</f>
        <v>0</v>
      </c>
      <c r="F143" s="636" t="str">
        <f t="shared" si="52"/>
        <v>PR.PT-22</v>
      </c>
      <c r="G143" s="636" t="str">
        <f t="shared" ca="1" si="53"/>
        <v>PR.PT-220</v>
      </c>
    </row>
    <row r="144" spans="1:7" x14ac:dyDescent="0.25">
      <c r="A144" t="s">
        <v>1004</v>
      </c>
      <c r="B144" s="556">
        <v>2</v>
      </c>
      <c r="C144" t="s">
        <v>1502</v>
      </c>
      <c r="D144" s="1076" t="s">
        <v>1525</v>
      </c>
      <c r="E144" s="556">
        <f ca="1">VLOOKUP(A144,Data!C:I,7,FALSE)</f>
        <v>0</v>
      </c>
      <c r="F144" s="636" t="str">
        <f t="shared" si="52"/>
        <v>DE.CM-72</v>
      </c>
      <c r="G144" s="636" t="str">
        <f t="shared" ca="1" si="53"/>
        <v>DE.CM-720</v>
      </c>
    </row>
    <row r="145" spans="1:7" x14ac:dyDescent="0.25">
      <c r="A145" t="s">
        <v>1005</v>
      </c>
      <c r="B145" s="556">
        <v>2</v>
      </c>
      <c r="C145" t="s">
        <v>1501</v>
      </c>
      <c r="D145" s="1077" t="s">
        <v>1526</v>
      </c>
      <c r="E145" s="556">
        <f ca="1">VLOOKUP(A145,Data!C:I,7,FALSE)</f>
        <v>0</v>
      </c>
      <c r="F145" s="636" t="str">
        <f t="shared" si="52"/>
        <v>PR.AC-22</v>
      </c>
      <c r="G145" s="636" t="str">
        <f t="shared" ca="1" si="53"/>
        <v>PR.AC-220</v>
      </c>
    </row>
    <row r="146" spans="1:7" x14ac:dyDescent="0.25">
      <c r="A146" t="s">
        <v>1006</v>
      </c>
      <c r="B146" s="556">
        <v>2</v>
      </c>
      <c r="C146" t="s">
        <v>1501</v>
      </c>
      <c r="D146" s="1075" t="s">
        <v>1540</v>
      </c>
      <c r="E146" s="556">
        <f ca="1">VLOOKUP(A146,Data!C:I,7,FALSE)</f>
        <v>0</v>
      </c>
      <c r="F146" s="636" t="str">
        <f t="shared" si="52"/>
        <v>PR.DS-32</v>
      </c>
      <c r="G146" s="636" t="str">
        <f t="shared" ca="1" si="53"/>
        <v>PR.DS-320</v>
      </c>
    </row>
    <row r="147" spans="1:7" x14ac:dyDescent="0.25">
      <c r="A147" t="s">
        <v>1006</v>
      </c>
      <c r="B147" s="556">
        <v>2</v>
      </c>
      <c r="C147" t="s">
        <v>1501</v>
      </c>
      <c r="D147" s="1075" t="s">
        <v>1534</v>
      </c>
      <c r="E147" s="556">
        <f ca="1">VLOOKUP(A147,Data!C:I,7,FALSE)</f>
        <v>0</v>
      </c>
      <c r="F147" s="636" t="str">
        <f t="shared" si="52"/>
        <v>PR.DS-42</v>
      </c>
      <c r="G147" s="636" t="str">
        <f t="shared" ca="1" si="53"/>
        <v>PR.DS-420</v>
      </c>
    </row>
    <row r="148" spans="1:7" x14ac:dyDescent="0.25">
      <c r="A148" t="s">
        <v>1006</v>
      </c>
      <c r="B148" s="556">
        <v>2</v>
      </c>
      <c r="C148" t="s">
        <v>1501</v>
      </c>
      <c r="D148" s="1075" t="s">
        <v>1556</v>
      </c>
      <c r="E148" s="556">
        <f ca="1">VLOOKUP(A148,Data!C:I,7,FALSE)</f>
        <v>0</v>
      </c>
      <c r="F148" s="636" t="str">
        <f t="shared" si="52"/>
        <v>PR.MA-12</v>
      </c>
      <c r="G148" s="636" t="str">
        <f t="shared" ca="1" si="53"/>
        <v>PR.MA-120</v>
      </c>
    </row>
    <row r="149" spans="1:7" x14ac:dyDescent="0.25">
      <c r="A149" t="s">
        <v>1006</v>
      </c>
      <c r="B149" s="556">
        <v>2</v>
      </c>
      <c r="C149" t="s">
        <v>1501</v>
      </c>
      <c r="D149" s="1075" t="s">
        <v>1521</v>
      </c>
      <c r="E149" s="556">
        <f ca="1">VLOOKUP(A149,Data!C:I,7,FALSE)</f>
        <v>0</v>
      </c>
      <c r="F149" s="636" t="str">
        <f t="shared" si="52"/>
        <v>PR.MA-22</v>
      </c>
      <c r="G149" s="636" t="str">
        <f t="shared" ca="1" si="53"/>
        <v>PR.MA-220</v>
      </c>
    </row>
    <row r="150" spans="1:7" x14ac:dyDescent="0.25">
      <c r="A150" t="s">
        <v>1007</v>
      </c>
      <c r="B150" s="556">
        <v>2</v>
      </c>
      <c r="C150" t="s">
        <v>1501</v>
      </c>
      <c r="D150" s="1077" t="s">
        <v>1526</v>
      </c>
      <c r="E150" s="556">
        <f ca="1">VLOOKUP(A150,Data!C:I,7,FALSE)</f>
        <v>0</v>
      </c>
      <c r="F150" s="636" t="str">
        <f t="shared" si="52"/>
        <v>PR.AC-22</v>
      </c>
      <c r="G150" s="636" t="str">
        <f t="shared" ca="1" si="53"/>
        <v>PR.AC-220</v>
      </c>
    </row>
    <row r="151" spans="1:7" x14ac:dyDescent="0.25">
      <c r="A151" t="s">
        <v>1007</v>
      </c>
      <c r="B151" s="556">
        <v>2</v>
      </c>
      <c r="C151" t="s">
        <v>1501</v>
      </c>
      <c r="D151" s="1075" t="s">
        <v>1558</v>
      </c>
      <c r="E151" s="556">
        <f ca="1">VLOOKUP(A151,Data!C:I,7,FALSE)</f>
        <v>0</v>
      </c>
      <c r="F151" s="636" t="str">
        <f t="shared" si="52"/>
        <v>PR.IP-52</v>
      </c>
      <c r="G151" s="636" t="str">
        <f t="shared" ca="1" si="53"/>
        <v>PR.IP-520</v>
      </c>
    </row>
    <row r="152" spans="1:7" x14ac:dyDescent="0.25">
      <c r="A152" t="s">
        <v>1007</v>
      </c>
      <c r="B152" s="556">
        <v>2</v>
      </c>
      <c r="C152" t="s">
        <v>1501</v>
      </c>
      <c r="D152" s="1075" t="s">
        <v>1528</v>
      </c>
      <c r="E152" s="556">
        <f ca="1">VLOOKUP(A152,Data!C:I,7,FALSE)</f>
        <v>0</v>
      </c>
      <c r="F152" s="636" t="str">
        <f t="shared" si="52"/>
        <v>PR.PT-12</v>
      </c>
      <c r="G152" s="636" t="str">
        <f t="shared" ca="1" si="53"/>
        <v>PR.PT-120</v>
      </c>
    </row>
    <row r="153" spans="1:7" x14ac:dyDescent="0.25">
      <c r="A153" t="s">
        <v>1007</v>
      </c>
      <c r="B153" s="556">
        <v>2</v>
      </c>
      <c r="C153" t="s">
        <v>1502</v>
      </c>
      <c r="D153" s="1076" t="s">
        <v>1527</v>
      </c>
      <c r="E153" s="556">
        <f ca="1">VLOOKUP(A153,Data!C:I,7,FALSE)</f>
        <v>0</v>
      </c>
      <c r="F153" s="636" t="str">
        <f t="shared" si="52"/>
        <v>DE.CM-22</v>
      </c>
      <c r="G153" s="636" t="str">
        <f t="shared" ca="1" si="53"/>
        <v>DE.CM-220</v>
      </c>
    </row>
    <row r="154" spans="1:7" x14ac:dyDescent="0.25">
      <c r="A154" t="s">
        <v>1007</v>
      </c>
      <c r="B154" s="556">
        <v>2</v>
      </c>
      <c r="C154" t="s">
        <v>1502</v>
      </c>
      <c r="D154" s="1076" t="s">
        <v>1525</v>
      </c>
      <c r="E154" s="556">
        <f ca="1">VLOOKUP(A154,Data!C:I,7,FALSE)</f>
        <v>0</v>
      </c>
      <c r="F154" s="636" t="str">
        <f t="shared" si="52"/>
        <v>DE.CM-72</v>
      </c>
      <c r="G154" s="636" t="str">
        <f t="shared" ca="1" si="53"/>
        <v>DE.CM-720</v>
      </c>
    </row>
    <row r="155" spans="1:7" x14ac:dyDescent="0.25">
      <c r="A155" t="s">
        <v>2612</v>
      </c>
      <c r="B155" s="556">
        <v>3</v>
      </c>
      <c r="C155" t="s">
        <v>1501</v>
      </c>
      <c r="D155" s="1077" t="s">
        <v>1538</v>
      </c>
      <c r="E155" s="556">
        <f ca="1">VLOOKUP(A155,Data!C:I,7,FALSE)</f>
        <v>0</v>
      </c>
      <c r="F155" s="636" t="str">
        <f t="shared" si="52"/>
        <v>PR.DS-63</v>
      </c>
      <c r="G155" s="636" t="str">
        <f t="shared" ca="1" si="53"/>
        <v>PR.DS-630</v>
      </c>
    </row>
    <row r="156" spans="1:7" x14ac:dyDescent="0.25">
      <c r="A156" t="s">
        <v>2612</v>
      </c>
      <c r="B156" s="556">
        <v>3</v>
      </c>
      <c r="C156" t="s">
        <v>1501</v>
      </c>
      <c r="D156" s="1075" t="s">
        <v>1557</v>
      </c>
      <c r="E156" s="556">
        <f ca="1">VLOOKUP(A156,Data!C:I,7,FALSE)</f>
        <v>0</v>
      </c>
      <c r="F156" s="636" t="str">
        <f t="shared" si="52"/>
        <v>PR.IP-23</v>
      </c>
      <c r="G156" s="636" t="str">
        <f t="shared" ca="1" si="53"/>
        <v>PR.IP-230</v>
      </c>
    </row>
    <row r="157" spans="1:7" x14ac:dyDescent="0.25">
      <c r="A157" t="s">
        <v>2612</v>
      </c>
      <c r="B157" s="556">
        <v>3</v>
      </c>
      <c r="C157" t="s">
        <v>1501</v>
      </c>
      <c r="D157" s="1075" t="s">
        <v>1544</v>
      </c>
      <c r="E157" s="556">
        <f ca="1">VLOOKUP(A157,Data!C:I,7,FALSE)</f>
        <v>0</v>
      </c>
      <c r="F157" s="636" t="str">
        <f t="shared" si="52"/>
        <v>PR.IP-33</v>
      </c>
      <c r="G157" s="636" t="str">
        <f t="shared" ca="1" si="53"/>
        <v>PR.IP-330</v>
      </c>
    </row>
    <row r="158" spans="1:7" x14ac:dyDescent="0.25">
      <c r="A158" t="s">
        <v>2613</v>
      </c>
      <c r="B158" s="556">
        <v>3</v>
      </c>
      <c r="C158" t="s">
        <v>1501</v>
      </c>
      <c r="D158" s="1075" t="s">
        <v>1520</v>
      </c>
      <c r="E158" s="556">
        <f ca="1">VLOOKUP(A158,Data!C:I,7,FALSE)</f>
        <v>0</v>
      </c>
      <c r="F158" s="636" t="str">
        <f t="shared" si="52"/>
        <v>PR.PT-33</v>
      </c>
      <c r="G158" s="636" t="str">
        <f t="shared" ca="1" si="53"/>
        <v>PR.PT-330</v>
      </c>
    </row>
    <row r="159" spans="1:7" x14ac:dyDescent="0.25">
      <c r="A159" t="s">
        <v>2613</v>
      </c>
      <c r="B159" s="556">
        <v>3</v>
      </c>
      <c r="C159" t="s">
        <v>1502</v>
      </c>
      <c r="D159" s="1076" t="s">
        <v>1541</v>
      </c>
      <c r="E159" s="556">
        <f ca="1">VLOOKUP(A159,Data!C:I,7,FALSE)</f>
        <v>0</v>
      </c>
      <c r="F159" s="636" t="str">
        <f t="shared" si="52"/>
        <v>DE.CM-43</v>
      </c>
      <c r="G159" s="636" t="str">
        <f t="shared" ca="1" si="53"/>
        <v>DE.CM-430</v>
      </c>
    </row>
    <row r="160" spans="1:7" x14ac:dyDescent="0.25">
      <c r="A160" t="s">
        <v>2613</v>
      </c>
      <c r="B160" s="556">
        <v>3</v>
      </c>
      <c r="C160" t="s">
        <v>1502</v>
      </c>
      <c r="D160" s="1076" t="s">
        <v>1545</v>
      </c>
      <c r="E160" s="556">
        <f ca="1">VLOOKUP(A160,Data!C:I,7,FALSE)</f>
        <v>0</v>
      </c>
      <c r="F160" s="636" t="str">
        <f t="shared" si="52"/>
        <v>DE.CM-53</v>
      </c>
      <c r="G160" s="636" t="str">
        <f t="shared" ca="1" si="53"/>
        <v>DE.CM-530</v>
      </c>
    </row>
    <row r="161" spans="1:7" x14ac:dyDescent="0.25">
      <c r="A161" t="s">
        <v>2613</v>
      </c>
      <c r="B161" s="556">
        <v>3</v>
      </c>
      <c r="C161" t="s">
        <v>1502</v>
      </c>
      <c r="D161" s="1076" t="s">
        <v>1525</v>
      </c>
      <c r="E161" s="556">
        <f ca="1">VLOOKUP(A161,Data!C:I,7,FALSE)</f>
        <v>0</v>
      </c>
      <c r="F161" s="636" t="str">
        <f t="shared" si="52"/>
        <v>DE.CM-73</v>
      </c>
      <c r="G161" s="636" t="str">
        <f t="shared" ca="1" si="53"/>
        <v>DE.CM-730</v>
      </c>
    </row>
    <row r="162" spans="1:7" x14ac:dyDescent="0.25">
      <c r="A162" t="s">
        <v>319</v>
      </c>
      <c r="B162" s="556">
        <v>2</v>
      </c>
      <c r="C162" t="s">
        <v>1501</v>
      </c>
      <c r="D162" s="1075" t="s">
        <v>1542</v>
      </c>
      <c r="E162" s="556">
        <f ca="1">VLOOKUP(A162,Data!C:I,7,FALSE)</f>
        <v>0</v>
      </c>
      <c r="F162" s="636" t="str">
        <f t="shared" si="52"/>
        <v>PR.DS-72</v>
      </c>
      <c r="G162" s="636" t="str">
        <f t="shared" ca="1" si="53"/>
        <v>PR.DS-720</v>
      </c>
    </row>
    <row r="163" spans="1:7" x14ac:dyDescent="0.25">
      <c r="A163" t="s">
        <v>320</v>
      </c>
      <c r="B163" s="556">
        <v>2</v>
      </c>
      <c r="C163" t="s">
        <v>1501</v>
      </c>
      <c r="D163" s="1075" t="s">
        <v>1542</v>
      </c>
      <c r="E163" s="556">
        <f ca="1">VLOOKUP(A163,Data!C:I,7,FALSE)</f>
        <v>0</v>
      </c>
      <c r="F163" s="636" t="str">
        <f t="shared" si="52"/>
        <v>PR.DS-72</v>
      </c>
      <c r="G163" s="636" t="str">
        <f t="shared" ca="1" si="53"/>
        <v>PR.DS-720</v>
      </c>
    </row>
    <row r="164" spans="1:7" x14ac:dyDescent="0.25">
      <c r="A164" t="s">
        <v>321</v>
      </c>
      <c r="B164" s="556">
        <v>2</v>
      </c>
      <c r="C164" t="s">
        <v>1501</v>
      </c>
      <c r="D164" s="1075" t="s">
        <v>1555</v>
      </c>
      <c r="E164" s="556">
        <f ca="1">VLOOKUP(A164,Data!C:I,7,FALSE)</f>
        <v>0</v>
      </c>
      <c r="F164" s="636" t="str">
        <f t="shared" si="52"/>
        <v>PR.IP-12</v>
      </c>
      <c r="G164" s="636" t="str">
        <f t="shared" ca="1" si="53"/>
        <v>PR.IP-120</v>
      </c>
    </row>
    <row r="165" spans="1:7" x14ac:dyDescent="0.25">
      <c r="A165" t="s">
        <v>322</v>
      </c>
      <c r="B165" s="556">
        <v>3</v>
      </c>
      <c r="C165" t="s">
        <v>1501</v>
      </c>
      <c r="D165" s="1075" t="s">
        <v>1542</v>
      </c>
      <c r="E165" s="556">
        <f ca="1">VLOOKUP(A165,Data!C:I,7,FALSE)</f>
        <v>0</v>
      </c>
      <c r="F165" s="636" t="str">
        <f t="shared" si="52"/>
        <v>PR.DS-73</v>
      </c>
      <c r="G165" s="636" t="str">
        <f t="shared" ca="1" si="53"/>
        <v>PR.DS-730</v>
      </c>
    </row>
    <row r="166" spans="1:7" x14ac:dyDescent="0.25">
      <c r="A166" t="s">
        <v>322</v>
      </c>
      <c r="B166" s="556">
        <v>3</v>
      </c>
      <c r="C166" t="s">
        <v>1501</v>
      </c>
      <c r="D166" s="1075" t="s">
        <v>1557</v>
      </c>
      <c r="E166" s="556">
        <f ca="1">VLOOKUP(A166,Data!C:I,7,FALSE)</f>
        <v>0</v>
      </c>
      <c r="F166" s="636" t="str">
        <f t="shared" si="52"/>
        <v>PR.IP-23</v>
      </c>
      <c r="G166" s="636" t="str">
        <f t="shared" ca="1" si="53"/>
        <v>PR.IP-230</v>
      </c>
    </row>
    <row r="167" spans="1:7" x14ac:dyDescent="0.25">
      <c r="A167" t="s">
        <v>323</v>
      </c>
      <c r="B167" s="556">
        <v>3</v>
      </c>
      <c r="C167" t="s">
        <v>1501</v>
      </c>
      <c r="D167" s="1075" t="s">
        <v>1542</v>
      </c>
      <c r="E167" s="556">
        <f ca="1">VLOOKUP(A167,Data!C:I,7,FALSE)</f>
        <v>0</v>
      </c>
      <c r="F167" s="636" t="str">
        <f t="shared" si="52"/>
        <v>PR.DS-73</v>
      </c>
      <c r="G167" s="636" t="str">
        <f t="shared" ca="1" si="53"/>
        <v>PR.DS-730</v>
      </c>
    </row>
    <row r="168" spans="1:7" x14ac:dyDescent="0.25">
      <c r="A168" t="s">
        <v>325</v>
      </c>
      <c r="B168" s="556">
        <v>3</v>
      </c>
      <c r="C168" t="s">
        <v>1501</v>
      </c>
      <c r="D168" s="1075" t="s">
        <v>1538</v>
      </c>
      <c r="E168" s="556">
        <f ca="1">VLOOKUP(A168,Data!C:I,7,FALSE)</f>
        <v>0</v>
      </c>
      <c r="F168" s="636" t="str">
        <f t="shared" si="52"/>
        <v>PR.DS-63</v>
      </c>
      <c r="G168" s="636" t="str">
        <f t="shared" ca="1" si="53"/>
        <v>PR.DS-630</v>
      </c>
    </row>
    <row r="169" spans="1:7" x14ac:dyDescent="0.25">
      <c r="A169" t="s">
        <v>329</v>
      </c>
      <c r="B169" s="556">
        <v>1</v>
      </c>
      <c r="C169" t="s">
        <v>1501</v>
      </c>
      <c r="D169" s="1075" t="s">
        <v>1546</v>
      </c>
      <c r="E169" s="556">
        <f ca="1">VLOOKUP(A169,Data!C:I,7,FALSE)</f>
        <v>0</v>
      </c>
      <c r="F169" s="636" t="str">
        <f t="shared" si="52"/>
        <v>PR.DS-11</v>
      </c>
      <c r="G169" s="636" t="str">
        <f t="shared" ca="1" si="53"/>
        <v>PR.DS-110</v>
      </c>
    </row>
    <row r="170" spans="1:7" x14ac:dyDescent="0.25">
      <c r="A170" t="s">
        <v>329</v>
      </c>
      <c r="B170" s="556">
        <v>1</v>
      </c>
      <c r="C170" t="s">
        <v>1501</v>
      </c>
      <c r="D170" s="1075" t="s">
        <v>1535</v>
      </c>
      <c r="E170" s="556">
        <f ca="1">VLOOKUP(A170,Data!C:I,7,FALSE)</f>
        <v>0</v>
      </c>
      <c r="F170" s="636" t="str">
        <f t="shared" si="52"/>
        <v>PR.DS-51</v>
      </c>
      <c r="G170" s="636" t="str">
        <f t="shared" ca="1" si="53"/>
        <v>PR.DS-510</v>
      </c>
    </row>
    <row r="171" spans="1:7" x14ac:dyDescent="0.25">
      <c r="A171" t="s">
        <v>330</v>
      </c>
      <c r="B171" s="556">
        <v>2</v>
      </c>
      <c r="C171" t="s">
        <v>1501</v>
      </c>
      <c r="D171" s="1075" t="s">
        <v>1546</v>
      </c>
      <c r="E171" s="556">
        <f ca="1">VLOOKUP(A171,Data!C:I,7,FALSE)</f>
        <v>0</v>
      </c>
      <c r="F171" s="636" t="str">
        <f t="shared" si="52"/>
        <v>PR.DS-12</v>
      </c>
      <c r="G171" s="636" t="str">
        <f t="shared" ca="1" si="53"/>
        <v>PR.DS-120</v>
      </c>
    </row>
    <row r="172" spans="1:7" x14ac:dyDescent="0.25">
      <c r="A172" t="s">
        <v>330</v>
      </c>
      <c r="B172" s="556">
        <v>2</v>
      </c>
      <c r="C172" t="s">
        <v>1501</v>
      </c>
      <c r="D172" s="1075" t="s">
        <v>1535</v>
      </c>
      <c r="E172" s="556">
        <f ca="1">VLOOKUP(A172,Data!C:I,7,FALSE)</f>
        <v>0</v>
      </c>
      <c r="F172" s="636" t="str">
        <f t="shared" si="52"/>
        <v>PR.DS-52</v>
      </c>
      <c r="G172" s="636" t="str">
        <f t="shared" ca="1" si="53"/>
        <v>PR.DS-520</v>
      </c>
    </row>
    <row r="173" spans="1:7" x14ac:dyDescent="0.25">
      <c r="A173" t="s">
        <v>331</v>
      </c>
      <c r="B173" s="556">
        <v>2</v>
      </c>
      <c r="C173" t="s">
        <v>1501</v>
      </c>
      <c r="D173" s="1075" t="s">
        <v>1547</v>
      </c>
      <c r="E173" s="556">
        <f ca="1">VLOOKUP(A173,Data!C:I,7,FALSE)</f>
        <v>0</v>
      </c>
      <c r="F173" s="636" t="str">
        <f t="shared" si="52"/>
        <v>PR.DS-22</v>
      </c>
      <c r="G173" s="636" t="str">
        <f t="shared" ca="1" si="53"/>
        <v>PR.DS-220</v>
      </c>
    </row>
    <row r="174" spans="1:7" x14ac:dyDescent="0.25">
      <c r="A174" t="s">
        <v>331</v>
      </c>
      <c r="B174" s="556">
        <v>2</v>
      </c>
      <c r="C174" t="s">
        <v>1501</v>
      </c>
      <c r="D174" s="1075" t="s">
        <v>1535</v>
      </c>
      <c r="E174" s="556">
        <f ca="1">VLOOKUP(A174,Data!C:I,7,FALSE)</f>
        <v>0</v>
      </c>
      <c r="F174" s="636" t="str">
        <f t="shared" si="52"/>
        <v>PR.DS-52</v>
      </c>
      <c r="G174" s="636" t="str">
        <f t="shared" ca="1" si="53"/>
        <v>PR.DS-520</v>
      </c>
    </row>
    <row r="175" spans="1:7" x14ac:dyDescent="0.25">
      <c r="A175" t="s">
        <v>332</v>
      </c>
      <c r="B175" s="556">
        <v>2</v>
      </c>
      <c r="C175" t="s">
        <v>1501</v>
      </c>
      <c r="D175" s="1075" t="s">
        <v>1546</v>
      </c>
      <c r="E175" s="556">
        <f ca="1">VLOOKUP(A175,Data!C:I,7,FALSE)</f>
        <v>0</v>
      </c>
      <c r="F175" s="636" t="str">
        <f t="shared" si="52"/>
        <v>PR.DS-12</v>
      </c>
      <c r="G175" s="636" t="str">
        <f t="shared" ca="1" si="53"/>
        <v>PR.DS-120</v>
      </c>
    </row>
    <row r="176" spans="1:7" x14ac:dyDescent="0.25">
      <c r="A176" t="s">
        <v>332</v>
      </c>
      <c r="B176" s="556">
        <v>2</v>
      </c>
      <c r="C176" t="s">
        <v>1501</v>
      </c>
      <c r="D176" s="1075" t="s">
        <v>1547</v>
      </c>
      <c r="E176" s="556">
        <f ca="1">VLOOKUP(A176,Data!C:I,7,FALSE)</f>
        <v>0</v>
      </c>
      <c r="F176" s="636" t="str">
        <f t="shared" si="52"/>
        <v>PR.DS-22</v>
      </c>
      <c r="G176" s="636" t="str">
        <f t="shared" ca="1" si="53"/>
        <v>PR.DS-220</v>
      </c>
    </row>
    <row r="177" spans="1:7" x14ac:dyDescent="0.25">
      <c r="A177" t="s">
        <v>332</v>
      </c>
      <c r="B177" s="556">
        <v>2</v>
      </c>
      <c r="C177" t="s">
        <v>1501</v>
      </c>
      <c r="D177" s="1075" t="s">
        <v>1535</v>
      </c>
      <c r="E177" s="556">
        <f ca="1">VLOOKUP(A177,Data!C:I,7,FALSE)</f>
        <v>0</v>
      </c>
      <c r="F177" s="636" t="str">
        <f t="shared" si="52"/>
        <v>PR.DS-52</v>
      </c>
      <c r="G177" s="636" t="str">
        <f t="shared" ca="1" si="53"/>
        <v>PR.DS-520</v>
      </c>
    </row>
    <row r="178" spans="1:7" x14ac:dyDescent="0.25">
      <c r="A178" t="s">
        <v>333</v>
      </c>
      <c r="B178" s="556">
        <v>2</v>
      </c>
      <c r="C178" t="s">
        <v>1501</v>
      </c>
      <c r="D178" s="1077" t="s">
        <v>1616</v>
      </c>
      <c r="E178" s="556">
        <f ca="1">VLOOKUP(A178,Data!C:I,7,FALSE)</f>
        <v>0</v>
      </c>
      <c r="F178" s="636" t="str">
        <f t="shared" si="52"/>
        <v>PR.AT-32</v>
      </c>
      <c r="G178" s="636" t="str">
        <f t="shared" ca="1" si="53"/>
        <v>PR.AT-320</v>
      </c>
    </row>
    <row r="179" spans="1:7" x14ac:dyDescent="0.25">
      <c r="A179" t="s">
        <v>333</v>
      </c>
      <c r="B179" s="556">
        <v>2</v>
      </c>
      <c r="C179" t="s">
        <v>1501</v>
      </c>
      <c r="D179" s="1075" t="s">
        <v>1546</v>
      </c>
      <c r="E179" s="556">
        <f ca="1">VLOOKUP(A179,Data!C:I,7,FALSE)</f>
        <v>0</v>
      </c>
      <c r="F179" s="636" t="str">
        <f t="shared" si="52"/>
        <v>PR.DS-12</v>
      </c>
      <c r="G179" s="636" t="str">
        <f t="shared" ca="1" si="53"/>
        <v>PR.DS-120</v>
      </c>
    </row>
    <row r="180" spans="1:7" x14ac:dyDescent="0.25">
      <c r="A180" t="s">
        <v>333</v>
      </c>
      <c r="B180" s="556">
        <v>2</v>
      </c>
      <c r="C180" t="s">
        <v>1501</v>
      </c>
      <c r="D180" s="1075" t="s">
        <v>1547</v>
      </c>
      <c r="E180" s="556">
        <f ca="1">VLOOKUP(A180,Data!C:I,7,FALSE)</f>
        <v>0</v>
      </c>
      <c r="F180" s="636" t="str">
        <f t="shared" si="52"/>
        <v>PR.DS-22</v>
      </c>
      <c r="G180" s="636" t="str">
        <f t="shared" ca="1" si="53"/>
        <v>PR.DS-220</v>
      </c>
    </row>
    <row r="181" spans="1:7" x14ac:dyDescent="0.25">
      <c r="A181" t="s">
        <v>334</v>
      </c>
      <c r="B181" s="556">
        <v>2</v>
      </c>
      <c r="C181" t="s">
        <v>1501</v>
      </c>
      <c r="D181" s="1075" t="s">
        <v>1546</v>
      </c>
      <c r="E181" s="556">
        <f ca="1">VLOOKUP(A181,Data!C:I,7,FALSE)</f>
        <v>0</v>
      </c>
      <c r="F181" s="636" t="str">
        <f t="shared" si="52"/>
        <v>PR.DS-12</v>
      </c>
      <c r="G181" s="636" t="str">
        <f t="shared" ca="1" si="53"/>
        <v>PR.DS-120</v>
      </c>
    </row>
    <row r="182" spans="1:7" x14ac:dyDescent="0.25">
      <c r="A182" t="s">
        <v>334</v>
      </c>
      <c r="B182" s="556">
        <v>2</v>
      </c>
      <c r="C182" t="s">
        <v>1501</v>
      </c>
      <c r="D182" s="1075" t="s">
        <v>1547</v>
      </c>
      <c r="E182" s="556">
        <f ca="1">VLOOKUP(A182,Data!C:I,7,FALSE)</f>
        <v>0</v>
      </c>
      <c r="F182" s="636" t="str">
        <f t="shared" si="52"/>
        <v>PR.DS-22</v>
      </c>
      <c r="G182" s="636" t="str">
        <f t="shared" ca="1" si="53"/>
        <v>PR.DS-220</v>
      </c>
    </row>
    <row r="183" spans="1:7" x14ac:dyDescent="0.25">
      <c r="A183" t="s">
        <v>334</v>
      </c>
      <c r="B183" s="556">
        <v>2</v>
      </c>
      <c r="C183" t="s">
        <v>1501</v>
      </c>
      <c r="D183" s="1075" t="s">
        <v>1535</v>
      </c>
      <c r="E183" s="556">
        <f ca="1">VLOOKUP(A183,Data!C:I,7,FALSE)</f>
        <v>0</v>
      </c>
      <c r="F183" s="636" t="str">
        <f t="shared" si="52"/>
        <v>PR.DS-52</v>
      </c>
      <c r="G183" s="636" t="str">
        <f t="shared" ca="1" si="53"/>
        <v>PR.DS-520</v>
      </c>
    </row>
    <row r="184" spans="1:7" x14ac:dyDescent="0.25">
      <c r="A184" t="s">
        <v>335</v>
      </c>
      <c r="B184" s="556">
        <v>3</v>
      </c>
      <c r="C184" t="s">
        <v>1501</v>
      </c>
      <c r="D184" s="1075" t="s">
        <v>1546</v>
      </c>
      <c r="E184" s="556">
        <f ca="1">VLOOKUP(A184,Data!C:I,7,FALSE)</f>
        <v>0</v>
      </c>
      <c r="F184" s="636" t="str">
        <f t="shared" si="52"/>
        <v>PR.DS-13</v>
      </c>
      <c r="G184" s="636" t="str">
        <f t="shared" ca="1" si="53"/>
        <v>PR.DS-130</v>
      </c>
    </row>
    <row r="185" spans="1:7" x14ac:dyDescent="0.25">
      <c r="A185" t="s">
        <v>335</v>
      </c>
      <c r="B185" s="556">
        <v>3</v>
      </c>
      <c r="C185" t="s">
        <v>1501</v>
      </c>
      <c r="D185" s="1075" t="s">
        <v>1547</v>
      </c>
      <c r="E185" s="556">
        <f ca="1">VLOOKUP(A185,Data!C:I,7,FALSE)</f>
        <v>0</v>
      </c>
      <c r="F185" s="636" t="str">
        <f t="shared" si="52"/>
        <v>PR.DS-23</v>
      </c>
      <c r="G185" s="636" t="str">
        <f t="shared" ca="1" si="53"/>
        <v>PR.DS-230</v>
      </c>
    </row>
    <row r="186" spans="1:7" x14ac:dyDescent="0.25">
      <c r="A186" t="s">
        <v>335</v>
      </c>
      <c r="B186" s="556">
        <v>3</v>
      </c>
      <c r="C186" t="s">
        <v>1501</v>
      </c>
      <c r="D186" s="1077" t="s">
        <v>1535</v>
      </c>
      <c r="E186" s="556">
        <f ca="1">VLOOKUP(A186,Data!C:I,7,FALSE)</f>
        <v>0</v>
      </c>
      <c r="F186" s="636" t="str">
        <f t="shared" si="52"/>
        <v>PR.DS-53</v>
      </c>
      <c r="G186" s="636" t="str">
        <f t="shared" ca="1" si="53"/>
        <v>PR.DS-530</v>
      </c>
    </row>
    <row r="187" spans="1:7" x14ac:dyDescent="0.25">
      <c r="A187" t="s">
        <v>335</v>
      </c>
      <c r="B187" s="556">
        <v>3</v>
      </c>
      <c r="C187" t="s">
        <v>1501</v>
      </c>
      <c r="D187" s="1075" t="s">
        <v>1519</v>
      </c>
      <c r="E187" s="556">
        <f ca="1">VLOOKUP(A187,Data!C:I,7,FALSE)</f>
        <v>0</v>
      </c>
      <c r="F187" s="636" t="str">
        <f t="shared" si="52"/>
        <v>PR.PT-23</v>
      </c>
      <c r="G187" s="636" t="str">
        <f t="shared" ca="1" si="53"/>
        <v>PR.PT-230</v>
      </c>
    </row>
    <row r="188" spans="1:7" x14ac:dyDescent="0.25">
      <c r="A188" t="s">
        <v>1008</v>
      </c>
      <c r="B188" s="556">
        <v>3</v>
      </c>
      <c r="C188" t="s">
        <v>1501</v>
      </c>
      <c r="D188" s="1075" t="s">
        <v>1546</v>
      </c>
      <c r="E188" s="556">
        <f ca="1">VLOOKUP(A188,Data!C:I,7,FALSE)</f>
        <v>0</v>
      </c>
      <c r="F188" s="636" t="str">
        <f t="shared" si="52"/>
        <v>PR.DS-13</v>
      </c>
      <c r="G188" s="636" t="str">
        <f t="shared" ca="1" si="53"/>
        <v>PR.DS-130</v>
      </c>
    </row>
    <row r="189" spans="1:7" x14ac:dyDescent="0.25">
      <c r="A189" t="s">
        <v>1008</v>
      </c>
      <c r="B189" s="556">
        <v>3</v>
      </c>
      <c r="C189" t="s">
        <v>1501</v>
      </c>
      <c r="D189" s="1075" t="s">
        <v>1547</v>
      </c>
      <c r="E189" s="556">
        <f ca="1">VLOOKUP(A189,Data!C:I,7,FALSE)</f>
        <v>0</v>
      </c>
      <c r="F189" s="636" t="str">
        <f t="shared" si="52"/>
        <v>PR.DS-23</v>
      </c>
      <c r="G189" s="636" t="str">
        <f t="shared" ca="1" si="53"/>
        <v>PR.DS-230</v>
      </c>
    </row>
    <row r="190" spans="1:7" x14ac:dyDescent="0.25">
      <c r="A190" t="s">
        <v>1008</v>
      </c>
      <c r="B190" s="556">
        <v>3</v>
      </c>
      <c r="C190" t="s">
        <v>1501</v>
      </c>
      <c r="D190" s="1075" t="s">
        <v>1538</v>
      </c>
      <c r="E190" s="556">
        <f ca="1">VLOOKUP(A190,Data!C:I,7,FALSE)</f>
        <v>0</v>
      </c>
      <c r="F190" s="636" t="str">
        <f t="shared" si="52"/>
        <v>PR.DS-63</v>
      </c>
      <c r="G190" s="636" t="str">
        <f t="shared" ca="1" si="53"/>
        <v>PR.DS-630</v>
      </c>
    </row>
    <row r="191" spans="1:7" x14ac:dyDescent="0.25">
      <c r="A191" t="s">
        <v>1011</v>
      </c>
      <c r="B191" s="556">
        <v>3</v>
      </c>
      <c r="C191" t="s">
        <v>446</v>
      </c>
      <c r="D191" s="1079" t="s">
        <v>1562</v>
      </c>
      <c r="E191" s="556">
        <f ca="1">VLOOKUP(A191,Data!C:I,7,FALSE)</f>
        <v>0</v>
      </c>
      <c r="F191" s="636" t="str">
        <f t="shared" si="52"/>
        <v>ID.GV-13</v>
      </c>
      <c r="G191" s="636" t="str">
        <f t="shared" ca="1" si="53"/>
        <v>ID.GV-130</v>
      </c>
    </row>
    <row r="192" spans="1:7" x14ac:dyDescent="0.25">
      <c r="A192" t="s">
        <v>1011</v>
      </c>
      <c r="B192" s="556">
        <v>3</v>
      </c>
      <c r="C192" t="s">
        <v>446</v>
      </c>
      <c r="D192" s="1079" t="s">
        <v>1576</v>
      </c>
      <c r="E192" s="556">
        <f ca="1">VLOOKUP(A192,Data!C:I,7,FALSE)</f>
        <v>0</v>
      </c>
      <c r="F192" s="636" t="str">
        <f t="shared" si="52"/>
        <v>ID.GV-33</v>
      </c>
      <c r="G192" s="636" t="str">
        <f t="shared" ca="1" si="53"/>
        <v>ID.GV-330</v>
      </c>
    </row>
    <row r="193" spans="1:7" x14ac:dyDescent="0.25">
      <c r="A193" t="s">
        <v>1011</v>
      </c>
      <c r="B193" s="556">
        <v>3</v>
      </c>
      <c r="C193" t="s">
        <v>1501</v>
      </c>
      <c r="D193" s="1075" t="s">
        <v>1558</v>
      </c>
      <c r="E193" s="556">
        <f ca="1">VLOOKUP(A193,Data!C:I,7,FALSE)</f>
        <v>0</v>
      </c>
      <c r="F193" s="636" t="str">
        <f t="shared" si="52"/>
        <v>PR.IP-53</v>
      </c>
      <c r="G193" s="636" t="str">
        <f t="shared" ca="1" si="53"/>
        <v>PR.IP-530</v>
      </c>
    </row>
    <row r="194" spans="1:7" x14ac:dyDescent="0.25">
      <c r="A194" t="s">
        <v>1011</v>
      </c>
      <c r="B194" s="556">
        <v>3</v>
      </c>
      <c r="C194" t="s">
        <v>1501</v>
      </c>
      <c r="D194" s="1075" t="s">
        <v>1519</v>
      </c>
      <c r="E194" s="556">
        <f ca="1">VLOOKUP(A194,Data!C:I,7,FALSE)</f>
        <v>0</v>
      </c>
      <c r="F194" s="636" t="str">
        <f t="shared" si="52"/>
        <v>PR.PT-23</v>
      </c>
      <c r="G194" s="636" t="str">
        <f t="shared" ca="1" si="53"/>
        <v>PR.PT-230</v>
      </c>
    </row>
    <row r="195" spans="1:7" x14ac:dyDescent="0.25">
      <c r="A195" t="s">
        <v>1012</v>
      </c>
      <c r="B195" s="556">
        <v>3</v>
      </c>
      <c r="C195" t="s">
        <v>446</v>
      </c>
      <c r="D195" s="1079" t="s">
        <v>1529</v>
      </c>
      <c r="E195" s="556">
        <f ca="1">VLOOKUP(A195,Data!C:I,7,FALSE)</f>
        <v>0</v>
      </c>
      <c r="F195" s="636" t="str">
        <f t="shared" ref="F195:F258" si="54">CONCATENATE($D195,$B195)</f>
        <v>ID.AM-63</v>
      </c>
      <c r="G195" s="636" t="str">
        <f t="shared" ref="G195:G258" ca="1" si="55">_xlfn.IFNA(CONCATENATE(F195,$E195),CONCATENATE(F195,$E195,0))</f>
        <v>ID.AM-630</v>
      </c>
    </row>
    <row r="196" spans="1:7" x14ac:dyDescent="0.25">
      <c r="A196" t="s">
        <v>1012</v>
      </c>
      <c r="B196" s="556">
        <v>3</v>
      </c>
      <c r="C196" t="s">
        <v>446</v>
      </c>
      <c r="D196" s="1079" t="s">
        <v>1562</v>
      </c>
      <c r="E196" s="556">
        <f ca="1">VLOOKUP(A196,Data!C:I,7,FALSE)</f>
        <v>0</v>
      </c>
      <c r="F196" s="636" t="str">
        <f t="shared" si="54"/>
        <v>ID.GV-13</v>
      </c>
      <c r="G196" s="636" t="str">
        <f t="shared" ca="1" si="55"/>
        <v>ID.GV-130</v>
      </c>
    </row>
    <row r="197" spans="1:7" x14ac:dyDescent="0.25">
      <c r="A197" t="s">
        <v>1012</v>
      </c>
      <c r="B197" s="556">
        <v>3</v>
      </c>
      <c r="C197" t="s">
        <v>446</v>
      </c>
      <c r="D197" s="1079" t="s">
        <v>1530</v>
      </c>
      <c r="E197" s="556">
        <f ca="1">VLOOKUP(A197,Data!C:I,7,FALSE)</f>
        <v>0</v>
      </c>
      <c r="F197" s="636" t="str">
        <f t="shared" si="54"/>
        <v>ID.GV-23</v>
      </c>
      <c r="G197" s="636" t="str">
        <f t="shared" ca="1" si="55"/>
        <v>ID.GV-230</v>
      </c>
    </row>
    <row r="198" spans="1:7" x14ac:dyDescent="0.25">
      <c r="A198" t="s">
        <v>1012</v>
      </c>
      <c r="B198" s="556">
        <v>3</v>
      </c>
      <c r="C198" t="s">
        <v>446</v>
      </c>
      <c r="D198" s="1079" t="s">
        <v>1576</v>
      </c>
      <c r="E198" s="556">
        <f ca="1">VLOOKUP(A198,Data!C:I,7,FALSE)</f>
        <v>0</v>
      </c>
      <c r="F198" s="636" t="str">
        <f t="shared" si="54"/>
        <v>ID.GV-33</v>
      </c>
      <c r="G198" s="636" t="str">
        <f t="shared" ca="1" si="55"/>
        <v>ID.GV-330</v>
      </c>
    </row>
    <row r="199" spans="1:7" x14ac:dyDescent="0.25">
      <c r="A199" t="s">
        <v>1012</v>
      </c>
      <c r="B199" s="556">
        <v>3</v>
      </c>
      <c r="C199" t="s">
        <v>1501</v>
      </c>
      <c r="D199" s="1075" t="s">
        <v>1615</v>
      </c>
      <c r="E199" s="556">
        <f ca="1">VLOOKUP(A199,Data!C:I,7,FALSE)</f>
        <v>0</v>
      </c>
      <c r="F199" s="636" t="str">
        <f t="shared" si="54"/>
        <v>PR.AT-23</v>
      </c>
      <c r="G199" s="636" t="str">
        <f t="shared" ca="1" si="55"/>
        <v>PR.AT-230</v>
      </c>
    </row>
    <row r="200" spans="1:7" x14ac:dyDescent="0.25">
      <c r="A200" t="s">
        <v>1012</v>
      </c>
      <c r="B200" s="556">
        <v>3</v>
      </c>
      <c r="C200" t="s">
        <v>1501</v>
      </c>
      <c r="D200" s="1077" t="s">
        <v>1616</v>
      </c>
      <c r="E200" s="556">
        <f ca="1">VLOOKUP(A200,Data!C:I,7,FALSE)</f>
        <v>0</v>
      </c>
      <c r="F200" s="636" t="str">
        <f t="shared" si="54"/>
        <v>PR.AT-33</v>
      </c>
      <c r="G200" s="636" t="str">
        <f t="shared" ca="1" si="55"/>
        <v>PR.AT-330</v>
      </c>
    </row>
    <row r="201" spans="1:7" x14ac:dyDescent="0.25">
      <c r="A201" t="s">
        <v>1012</v>
      </c>
      <c r="B201" s="556">
        <v>3</v>
      </c>
      <c r="C201" t="s">
        <v>1501</v>
      </c>
      <c r="D201" s="1075" t="s">
        <v>1565</v>
      </c>
      <c r="E201" s="556">
        <f ca="1">VLOOKUP(A201,Data!C:I,7,FALSE)</f>
        <v>0</v>
      </c>
      <c r="F201" s="636" t="str">
        <f t="shared" si="54"/>
        <v>PR.AT-43</v>
      </c>
      <c r="G201" s="636" t="str">
        <f t="shared" ca="1" si="55"/>
        <v>PR.AT-430</v>
      </c>
    </row>
    <row r="202" spans="1:7" x14ac:dyDescent="0.25">
      <c r="A202" t="s">
        <v>1012</v>
      </c>
      <c r="B202" s="556">
        <v>3</v>
      </c>
      <c r="C202" t="s">
        <v>1501</v>
      </c>
      <c r="D202" s="1075" t="s">
        <v>1617</v>
      </c>
      <c r="E202" s="556">
        <f ca="1">VLOOKUP(A202,Data!C:I,7,FALSE)</f>
        <v>0</v>
      </c>
      <c r="F202" s="636" t="str">
        <f t="shared" si="54"/>
        <v>PR.AT-53</v>
      </c>
      <c r="G202" s="636" t="str">
        <f t="shared" ca="1" si="55"/>
        <v>PR.AT-530</v>
      </c>
    </row>
    <row r="203" spans="1:7" x14ac:dyDescent="0.25">
      <c r="A203" t="s">
        <v>1013</v>
      </c>
      <c r="B203" s="556">
        <v>3</v>
      </c>
      <c r="C203" t="s">
        <v>1501</v>
      </c>
      <c r="D203" s="1075" t="s">
        <v>1619</v>
      </c>
      <c r="E203" s="556">
        <f ca="1">VLOOKUP(A203,Data!C:I,7,FALSE)</f>
        <v>0</v>
      </c>
      <c r="F203" s="636" t="str">
        <f t="shared" si="54"/>
        <v>PR.AT-13</v>
      </c>
      <c r="G203" s="636" t="str">
        <f t="shared" ca="1" si="55"/>
        <v>PR.AT-130</v>
      </c>
    </row>
    <row r="204" spans="1:7" x14ac:dyDescent="0.25">
      <c r="A204" t="s">
        <v>1014</v>
      </c>
      <c r="B204" s="556">
        <v>3</v>
      </c>
      <c r="C204" t="s">
        <v>1501</v>
      </c>
      <c r="D204" s="1075" t="s">
        <v>1781</v>
      </c>
      <c r="E204" s="556">
        <f ca="1">VLOOKUP(A204,Data!C:I,7,FALSE)</f>
        <v>0</v>
      </c>
      <c r="F204" s="636" t="str">
        <f t="shared" si="54"/>
        <v>PR.IP-73</v>
      </c>
      <c r="G204" s="636" t="str">
        <f t="shared" ca="1" si="55"/>
        <v>PR.IP-730</v>
      </c>
    </row>
    <row r="205" spans="1:7" x14ac:dyDescent="0.25">
      <c r="A205" t="s">
        <v>86</v>
      </c>
      <c r="B205" s="556">
        <v>1</v>
      </c>
      <c r="C205" t="s">
        <v>446</v>
      </c>
      <c r="D205" s="1079" t="s">
        <v>1548</v>
      </c>
      <c r="E205" s="556">
        <f ca="1">VLOOKUP(A205,Data!C:I,7,FALSE)</f>
        <v>0</v>
      </c>
      <c r="F205" s="636" t="str">
        <f t="shared" si="54"/>
        <v>ID.AM-11</v>
      </c>
      <c r="G205" s="636" t="str">
        <f t="shared" ca="1" si="55"/>
        <v>ID.AM-110</v>
      </c>
    </row>
    <row r="206" spans="1:7" x14ac:dyDescent="0.25">
      <c r="A206" t="s">
        <v>86</v>
      </c>
      <c r="B206" s="556">
        <v>1</v>
      </c>
      <c r="C206" t="s">
        <v>446</v>
      </c>
      <c r="D206" s="1079" t="s">
        <v>1549</v>
      </c>
      <c r="E206" s="556">
        <f ca="1">VLOOKUP(A206,Data!C:I,7,FALSE)</f>
        <v>0</v>
      </c>
      <c r="F206" s="636" t="str">
        <f t="shared" si="54"/>
        <v>ID.AM-21</v>
      </c>
      <c r="G206" s="636" t="str">
        <f t="shared" ca="1" si="55"/>
        <v>ID.AM-210</v>
      </c>
    </row>
    <row r="207" spans="1:7" x14ac:dyDescent="0.25">
      <c r="A207" t="s">
        <v>86</v>
      </c>
      <c r="B207" s="556">
        <v>1</v>
      </c>
      <c r="C207" t="s">
        <v>446</v>
      </c>
      <c r="D207" s="1079" t="s">
        <v>1560</v>
      </c>
      <c r="E207" s="556">
        <f ca="1">VLOOKUP(A207,Data!C:I,7,FALSE)</f>
        <v>0</v>
      </c>
      <c r="F207" s="636" t="str">
        <f t="shared" si="54"/>
        <v>ID.AM-41</v>
      </c>
      <c r="G207" s="636" t="str">
        <f t="shared" ca="1" si="55"/>
        <v>ID.AM-410</v>
      </c>
    </row>
    <row r="208" spans="1:7" x14ac:dyDescent="0.25">
      <c r="A208" t="s">
        <v>86</v>
      </c>
      <c r="B208" s="556">
        <v>1</v>
      </c>
      <c r="C208" t="s">
        <v>1501</v>
      </c>
      <c r="D208" s="1075" t="s">
        <v>1540</v>
      </c>
      <c r="E208" s="556">
        <f ca="1">VLOOKUP(A208,Data!C:I,7,FALSE)</f>
        <v>0</v>
      </c>
      <c r="F208" s="636" t="str">
        <f t="shared" si="54"/>
        <v>PR.DS-31</v>
      </c>
      <c r="G208" s="636" t="str">
        <f t="shared" ca="1" si="55"/>
        <v>PR.DS-310</v>
      </c>
    </row>
    <row r="209" spans="1:7" x14ac:dyDescent="0.25">
      <c r="A209" t="s">
        <v>88</v>
      </c>
      <c r="B209" s="556">
        <v>2</v>
      </c>
      <c r="C209" t="s">
        <v>446</v>
      </c>
      <c r="D209" s="1079" t="s">
        <v>1548</v>
      </c>
      <c r="E209" s="556">
        <f ca="1">VLOOKUP(A209,Data!C:I,7,FALSE)</f>
        <v>0</v>
      </c>
      <c r="F209" s="636" t="str">
        <f t="shared" si="54"/>
        <v>ID.AM-12</v>
      </c>
      <c r="G209" s="636" t="str">
        <f t="shared" ca="1" si="55"/>
        <v>ID.AM-120</v>
      </c>
    </row>
    <row r="210" spans="1:7" x14ac:dyDescent="0.25">
      <c r="A210" t="s">
        <v>88</v>
      </c>
      <c r="B210" s="556">
        <v>2</v>
      </c>
      <c r="C210" t="s">
        <v>446</v>
      </c>
      <c r="D210" s="1079" t="s">
        <v>1549</v>
      </c>
      <c r="E210" s="556">
        <f ca="1">VLOOKUP(A210,Data!C:I,7,FALSE)</f>
        <v>0</v>
      </c>
      <c r="F210" s="636" t="str">
        <f t="shared" si="54"/>
        <v>ID.AM-22</v>
      </c>
      <c r="G210" s="636" t="str">
        <f t="shared" ca="1" si="55"/>
        <v>ID.AM-220</v>
      </c>
    </row>
    <row r="211" spans="1:7" x14ac:dyDescent="0.25">
      <c r="A211" t="s">
        <v>88</v>
      </c>
      <c r="B211" s="556">
        <v>2</v>
      </c>
      <c r="C211" t="s">
        <v>446</v>
      </c>
      <c r="D211" s="1079" t="s">
        <v>1560</v>
      </c>
      <c r="E211" s="556">
        <f ca="1">VLOOKUP(A211,Data!C:I,7,FALSE)</f>
        <v>0</v>
      </c>
      <c r="F211" s="636" t="str">
        <f t="shared" si="54"/>
        <v>ID.AM-42</v>
      </c>
      <c r="G211" s="636" t="str">
        <f t="shared" ca="1" si="55"/>
        <v>ID.AM-420</v>
      </c>
    </row>
    <row r="212" spans="1:7" x14ac:dyDescent="0.25">
      <c r="A212" t="s">
        <v>89</v>
      </c>
      <c r="B212" s="556">
        <v>2</v>
      </c>
      <c r="C212" t="s">
        <v>446</v>
      </c>
      <c r="D212" s="1079" t="s">
        <v>1550</v>
      </c>
      <c r="E212" s="556">
        <f ca="1">VLOOKUP(A212,Data!C:I,7,FALSE)</f>
        <v>0</v>
      </c>
      <c r="F212" s="636" t="str">
        <f t="shared" si="54"/>
        <v>ID.AM-52</v>
      </c>
      <c r="G212" s="636" t="str">
        <f t="shared" ca="1" si="55"/>
        <v>ID.AM-520</v>
      </c>
    </row>
    <row r="213" spans="1:7" x14ac:dyDescent="0.25">
      <c r="A213" t="s">
        <v>91</v>
      </c>
      <c r="B213" s="556">
        <v>2</v>
      </c>
      <c r="C213" t="s">
        <v>446</v>
      </c>
      <c r="D213" s="1079" t="s">
        <v>1550</v>
      </c>
      <c r="E213" s="556">
        <f ca="1">VLOOKUP(A213,Data!C:I,7,FALSE)</f>
        <v>0</v>
      </c>
      <c r="F213" s="636" t="str">
        <f t="shared" si="54"/>
        <v>ID.AM-52</v>
      </c>
      <c r="G213" s="636" t="str">
        <f t="shared" ca="1" si="55"/>
        <v>ID.AM-520</v>
      </c>
    </row>
    <row r="214" spans="1:7" x14ac:dyDescent="0.25">
      <c r="A214" t="s">
        <v>95</v>
      </c>
      <c r="B214" s="556">
        <v>3</v>
      </c>
      <c r="C214" t="s">
        <v>446</v>
      </c>
      <c r="D214" s="1079" t="s">
        <v>1548</v>
      </c>
      <c r="E214" s="556">
        <f ca="1">VLOOKUP(A214,Data!C:I,7,FALSE)</f>
        <v>0</v>
      </c>
      <c r="F214" s="636" t="str">
        <f t="shared" si="54"/>
        <v>ID.AM-13</v>
      </c>
      <c r="G214" s="636" t="str">
        <f t="shared" ca="1" si="55"/>
        <v>ID.AM-130</v>
      </c>
    </row>
    <row r="215" spans="1:7" x14ac:dyDescent="0.25">
      <c r="A215" t="s">
        <v>95</v>
      </c>
      <c r="B215" s="556">
        <v>3</v>
      </c>
      <c r="C215" t="s">
        <v>446</v>
      </c>
      <c r="D215" s="1079" t="s">
        <v>1549</v>
      </c>
      <c r="E215" s="556">
        <f ca="1">VLOOKUP(A215,Data!C:I,7,FALSE)</f>
        <v>0</v>
      </c>
      <c r="F215" s="636" t="str">
        <f t="shared" si="54"/>
        <v>ID.AM-23</v>
      </c>
      <c r="G215" s="636" t="str">
        <f t="shared" ca="1" si="55"/>
        <v>ID.AM-230</v>
      </c>
    </row>
    <row r="216" spans="1:7" x14ac:dyDescent="0.25">
      <c r="A216" t="s">
        <v>95</v>
      </c>
      <c r="B216" s="556">
        <v>3</v>
      </c>
      <c r="C216" t="s">
        <v>446</v>
      </c>
      <c r="D216" s="1079" t="s">
        <v>1560</v>
      </c>
      <c r="E216" s="556">
        <f ca="1">VLOOKUP(A216,Data!C:I,7,FALSE)</f>
        <v>0</v>
      </c>
      <c r="F216" s="636" t="str">
        <f t="shared" si="54"/>
        <v>ID.AM-43</v>
      </c>
      <c r="G216" s="636" t="str">
        <f t="shared" ca="1" si="55"/>
        <v>ID.AM-430</v>
      </c>
    </row>
    <row r="217" spans="1:7" x14ac:dyDescent="0.25">
      <c r="A217" t="s">
        <v>95</v>
      </c>
      <c r="B217" s="556">
        <v>3</v>
      </c>
      <c r="C217" t="s">
        <v>1501</v>
      </c>
      <c r="D217" s="1075" t="s">
        <v>1540</v>
      </c>
      <c r="E217" s="556">
        <f ca="1">VLOOKUP(A217,Data!C:I,7,FALSE)</f>
        <v>0</v>
      </c>
      <c r="F217" s="636" t="str">
        <f t="shared" si="54"/>
        <v>PR.DS-33</v>
      </c>
      <c r="G217" s="636" t="str">
        <f t="shared" ca="1" si="55"/>
        <v>PR.DS-330</v>
      </c>
    </row>
    <row r="218" spans="1:7" x14ac:dyDescent="0.25">
      <c r="A218" t="s">
        <v>939</v>
      </c>
      <c r="B218" s="556">
        <v>3</v>
      </c>
      <c r="C218" t="s">
        <v>446</v>
      </c>
      <c r="D218" s="1081" t="s">
        <v>1548</v>
      </c>
      <c r="E218" s="556">
        <f ca="1">VLOOKUP(A218,Data!C:I,7,FALSE)</f>
        <v>0</v>
      </c>
      <c r="F218" s="636" t="str">
        <f t="shared" si="54"/>
        <v>ID.AM-13</v>
      </c>
      <c r="G218" s="636" t="str">
        <f t="shared" ca="1" si="55"/>
        <v>ID.AM-130</v>
      </c>
    </row>
    <row r="219" spans="1:7" x14ac:dyDescent="0.25">
      <c r="A219" t="s">
        <v>939</v>
      </c>
      <c r="B219" s="556">
        <v>3</v>
      </c>
      <c r="C219" t="s">
        <v>446</v>
      </c>
      <c r="D219" s="1079" t="s">
        <v>1549</v>
      </c>
      <c r="E219" s="556">
        <f ca="1">VLOOKUP(A219,Data!C:I,7,FALSE)</f>
        <v>0</v>
      </c>
      <c r="F219" s="636" t="str">
        <f t="shared" si="54"/>
        <v>ID.AM-23</v>
      </c>
      <c r="G219" s="636" t="str">
        <f t="shared" ca="1" si="55"/>
        <v>ID.AM-230</v>
      </c>
    </row>
    <row r="220" spans="1:7" x14ac:dyDescent="0.25">
      <c r="A220" t="s">
        <v>939</v>
      </c>
      <c r="B220" s="556">
        <v>3</v>
      </c>
      <c r="C220" t="s">
        <v>446</v>
      </c>
      <c r="D220" s="1079" t="s">
        <v>1560</v>
      </c>
      <c r="E220" s="556">
        <f ca="1">VLOOKUP(A220,Data!C:I,7,FALSE)</f>
        <v>0</v>
      </c>
      <c r="F220" s="636" t="str">
        <f t="shared" si="54"/>
        <v>ID.AM-43</v>
      </c>
      <c r="G220" s="636" t="str">
        <f t="shared" ca="1" si="55"/>
        <v>ID.AM-430</v>
      </c>
    </row>
    <row r="221" spans="1:7" x14ac:dyDescent="0.25">
      <c r="A221" t="s">
        <v>939</v>
      </c>
      <c r="B221" s="556">
        <v>3</v>
      </c>
      <c r="C221" t="s">
        <v>1501</v>
      </c>
      <c r="D221" s="1075" t="s">
        <v>1540</v>
      </c>
      <c r="E221" s="556">
        <f ca="1">VLOOKUP(A221,Data!C:I,7,FALSE)</f>
        <v>0</v>
      </c>
      <c r="F221" s="636" t="str">
        <f t="shared" si="54"/>
        <v>PR.DS-33</v>
      </c>
      <c r="G221" s="636" t="str">
        <f t="shared" ca="1" si="55"/>
        <v>PR.DS-330</v>
      </c>
    </row>
    <row r="222" spans="1:7" x14ac:dyDescent="0.25">
      <c r="A222" t="s">
        <v>940</v>
      </c>
      <c r="B222" s="556">
        <v>3</v>
      </c>
      <c r="C222" t="s">
        <v>1501</v>
      </c>
      <c r="D222" s="1075" t="s">
        <v>1546</v>
      </c>
      <c r="E222" s="556">
        <f ca="1">VLOOKUP(A222,Data!C:I,7,FALSE)</f>
        <v>0</v>
      </c>
      <c r="F222" s="636" t="str">
        <f t="shared" si="54"/>
        <v>PR.DS-13</v>
      </c>
      <c r="G222" s="636" t="str">
        <f t="shared" ca="1" si="55"/>
        <v>PR.DS-130</v>
      </c>
    </row>
    <row r="223" spans="1:7" x14ac:dyDescent="0.25">
      <c r="A223" t="s">
        <v>940</v>
      </c>
      <c r="B223" s="556">
        <v>3</v>
      </c>
      <c r="C223" t="s">
        <v>1501</v>
      </c>
      <c r="D223" s="1075" t="s">
        <v>1540</v>
      </c>
      <c r="E223" s="556">
        <f ca="1">VLOOKUP(A223,Data!C:I,7,FALSE)</f>
        <v>0</v>
      </c>
      <c r="F223" s="636" t="str">
        <f t="shared" si="54"/>
        <v>PR.DS-33</v>
      </c>
      <c r="G223" s="636" t="str">
        <f t="shared" ca="1" si="55"/>
        <v>PR.DS-330</v>
      </c>
    </row>
    <row r="224" spans="1:7" x14ac:dyDescent="0.25">
      <c r="A224" t="s">
        <v>940</v>
      </c>
      <c r="B224" s="556">
        <v>3</v>
      </c>
      <c r="C224" t="s">
        <v>1501</v>
      </c>
      <c r="D224" s="1075" t="s">
        <v>1535</v>
      </c>
      <c r="E224" s="556">
        <f ca="1">VLOOKUP(A224,Data!C:I,7,FALSE)</f>
        <v>0</v>
      </c>
      <c r="F224" s="636" t="str">
        <f t="shared" si="54"/>
        <v>PR.DS-53</v>
      </c>
      <c r="G224" s="636" t="str">
        <f t="shared" ca="1" si="55"/>
        <v>PR.DS-530</v>
      </c>
    </row>
    <row r="225" spans="1:7" x14ac:dyDescent="0.25">
      <c r="A225" t="s">
        <v>940</v>
      </c>
      <c r="B225" s="556">
        <v>3</v>
      </c>
      <c r="C225" t="s">
        <v>1501</v>
      </c>
      <c r="D225" s="1078" t="s">
        <v>1557</v>
      </c>
      <c r="E225" s="556">
        <f ca="1">VLOOKUP(A225,Data!C:I,7,FALSE)</f>
        <v>0</v>
      </c>
      <c r="F225" s="636" t="str">
        <f t="shared" si="54"/>
        <v>PR.IP-23</v>
      </c>
      <c r="G225" s="636" t="str">
        <f t="shared" ca="1" si="55"/>
        <v>PR.IP-230</v>
      </c>
    </row>
    <row r="226" spans="1:7" x14ac:dyDescent="0.25">
      <c r="A226" t="s">
        <v>940</v>
      </c>
      <c r="B226" s="556">
        <v>3</v>
      </c>
      <c r="C226" t="s">
        <v>1501</v>
      </c>
      <c r="D226" s="1075" t="s">
        <v>1553</v>
      </c>
      <c r="E226" s="556">
        <f ca="1">VLOOKUP(A226,Data!C:I,7,FALSE)</f>
        <v>0</v>
      </c>
      <c r="F226" s="636" t="str">
        <f t="shared" si="54"/>
        <v>PR.IP-63</v>
      </c>
      <c r="G226" s="636" t="str">
        <f t="shared" ca="1" si="55"/>
        <v>PR.IP-630</v>
      </c>
    </row>
    <row r="227" spans="1:7" x14ac:dyDescent="0.25">
      <c r="A227" t="s">
        <v>97</v>
      </c>
      <c r="B227" s="556">
        <v>1</v>
      </c>
      <c r="C227" t="s">
        <v>446</v>
      </c>
      <c r="D227" s="1079" t="s">
        <v>1560</v>
      </c>
      <c r="E227" s="556">
        <f ca="1">VLOOKUP(A227,Data!C:I,7,FALSE)</f>
        <v>0</v>
      </c>
      <c r="F227" s="636" t="str">
        <f t="shared" si="54"/>
        <v>ID.AM-41</v>
      </c>
      <c r="G227" s="636" t="str">
        <f t="shared" ca="1" si="55"/>
        <v>ID.AM-410</v>
      </c>
    </row>
    <row r="228" spans="1:7" x14ac:dyDescent="0.25">
      <c r="A228" t="s">
        <v>97</v>
      </c>
      <c r="B228" s="556">
        <v>1</v>
      </c>
      <c r="C228" t="s">
        <v>1501</v>
      </c>
      <c r="D228" s="1075" t="s">
        <v>1540</v>
      </c>
      <c r="E228" s="556">
        <f ca="1">VLOOKUP(A228,Data!C:I,7,FALSE)</f>
        <v>0</v>
      </c>
      <c r="F228" s="636" t="str">
        <f t="shared" si="54"/>
        <v>PR.DS-31</v>
      </c>
      <c r="G228" s="636" t="str">
        <f t="shared" ca="1" si="55"/>
        <v>PR.DS-310</v>
      </c>
    </row>
    <row r="229" spans="1:7" x14ac:dyDescent="0.25">
      <c r="A229" t="s">
        <v>98</v>
      </c>
      <c r="B229" s="556">
        <v>2</v>
      </c>
      <c r="C229" t="s">
        <v>446</v>
      </c>
      <c r="D229" s="1079" t="s">
        <v>1560</v>
      </c>
      <c r="E229" s="556">
        <f ca="1">VLOOKUP(A229,Data!C:I,7,FALSE)</f>
        <v>0</v>
      </c>
      <c r="F229" s="636" t="str">
        <f t="shared" si="54"/>
        <v>ID.AM-42</v>
      </c>
      <c r="G229" s="636" t="str">
        <f t="shared" ca="1" si="55"/>
        <v>ID.AM-420</v>
      </c>
    </row>
    <row r="230" spans="1:7" x14ac:dyDescent="0.25">
      <c r="A230" t="s">
        <v>99</v>
      </c>
      <c r="B230" s="556">
        <v>2</v>
      </c>
      <c r="C230" t="s">
        <v>446</v>
      </c>
      <c r="D230" s="1079" t="s">
        <v>1550</v>
      </c>
      <c r="E230" s="556">
        <f ca="1">VLOOKUP(A230,Data!C:I,7,FALSE)</f>
        <v>0</v>
      </c>
      <c r="F230" s="636" t="str">
        <f t="shared" si="54"/>
        <v>ID.AM-52</v>
      </c>
      <c r="G230" s="636" t="str">
        <f t="shared" ca="1" si="55"/>
        <v>ID.AM-520</v>
      </c>
    </row>
    <row r="231" spans="1:7" x14ac:dyDescent="0.25">
      <c r="A231" t="s">
        <v>100</v>
      </c>
      <c r="B231" s="556">
        <v>2</v>
      </c>
      <c r="C231" t="s">
        <v>446</v>
      </c>
      <c r="D231" s="1079" t="s">
        <v>1550</v>
      </c>
      <c r="E231" s="556">
        <f ca="1">VLOOKUP(A231,Data!C:I,7,FALSE)</f>
        <v>0</v>
      </c>
      <c r="F231" s="636" t="str">
        <f t="shared" si="54"/>
        <v>ID.AM-52</v>
      </c>
      <c r="G231" s="636" t="str">
        <f t="shared" ca="1" si="55"/>
        <v>ID.AM-520</v>
      </c>
    </row>
    <row r="232" spans="1:7" x14ac:dyDescent="0.25">
      <c r="A232" t="s">
        <v>102</v>
      </c>
      <c r="B232" s="556">
        <v>3</v>
      </c>
      <c r="C232" t="s">
        <v>446</v>
      </c>
      <c r="D232" s="1079" t="s">
        <v>1560</v>
      </c>
      <c r="E232" s="556">
        <f ca="1">VLOOKUP(A232,Data!C:I,7,FALSE)</f>
        <v>0</v>
      </c>
      <c r="F232" s="636" t="str">
        <f t="shared" si="54"/>
        <v>ID.AM-43</v>
      </c>
      <c r="G232" s="636" t="str">
        <f t="shared" ca="1" si="55"/>
        <v>ID.AM-430</v>
      </c>
    </row>
    <row r="233" spans="1:7" x14ac:dyDescent="0.25">
      <c r="A233" t="s">
        <v>102</v>
      </c>
      <c r="B233" s="556">
        <v>3</v>
      </c>
      <c r="C233" t="s">
        <v>1501</v>
      </c>
      <c r="D233" s="1075" t="s">
        <v>1540</v>
      </c>
      <c r="E233" s="556">
        <f ca="1">VLOOKUP(A233,Data!C:I,7,FALSE)</f>
        <v>0</v>
      </c>
      <c r="F233" s="636" t="str">
        <f t="shared" si="54"/>
        <v>PR.DS-33</v>
      </c>
      <c r="G233" s="636" t="str">
        <f t="shared" ca="1" si="55"/>
        <v>PR.DS-330</v>
      </c>
    </row>
    <row r="234" spans="1:7" x14ac:dyDescent="0.25">
      <c r="A234" t="s">
        <v>942</v>
      </c>
      <c r="B234" s="556">
        <v>3</v>
      </c>
      <c r="C234" t="s">
        <v>1501</v>
      </c>
      <c r="D234" s="1075" t="s">
        <v>1540</v>
      </c>
      <c r="E234" s="556">
        <f ca="1">VLOOKUP(A234,Data!C:I,7,FALSE)</f>
        <v>0</v>
      </c>
      <c r="F234" s="636" t="str">
        <f t="shared" si="54"/>
        <v>PR.DS-33</v>
      </c>
      <c r="G234" s="636" t="str">
        <f t="shared" ca="1" si="55"/>
        <v>PR.DS-330</v>
      </c>
    </row>
    <row r="235" spans="1:7" x14ac:dyDescent="0.25">
      <c r="A235" t="s">
        <v>943</v>
      </c>
      <c r="B235" s="556">
        <v>3</v>
      </c>
      <c r="C235" t="s">
        <v>1501</v>
      </c>
      <c r="D235" s="1078" t="s">
        <v>1540</v>
      </c>
      <c r="E235" s="556">
        <f ca="1">VLOOKUP(A235,Data!C:I,7,FALSE)</f>
        <v>0</v>
      </c>
      <c r="F235" s="636" t="str">
        <f t="shared" si="54"/>
        <v>PR.DS-33</v>
      </c>
      <c r="G235" s="636" t="str">
        <f t="shared" ca="1" si="55"/>
        <v>PR.DS-330</v>
      </c>
    </row>
    <row r="236" spans="1:7" x14ac:dyDescent="0.25">
      <c r="A236" t="s">
        <v>943</v>
      </c>
      <c r="B236" s="556">
        <v>3</v>
      </c>
      <c r="C236" t="s">
        <v>1501</v>
      </c>
      <c r="D236" s="1075" t="s">
        <v>1535</v>
      </c>
      <c r="E236" s="556">
        <f ca="1">VLOOKUP(A236,Data!C:I,7,FALSE)</f>
        <v>0</v>
      </c>
      <c r="F236" s="636" t="str">
        <f t="shared" si="54"/>
        <v>PR.DS-53</v>
      </c>
      <c r="G236" s="636" t="str">
        <f t="shared" ca="1" si="55"/>
        <v>PR.DS-530</v>
      </c>
    </row>
    <row r="237" spans="1:7" x14ac:dyDescent="0.25">
      <c r="A237" t="s">
        <v>943</v>
      </c>
      <c r="B237" s="556">
        <v>3</v>
      </c>
      <c r="C237" t="s">
        <v>1501</v>
      </c>
      <c r="D237" s="1078" t="s">
        <v>1557</v>
      </c>
      <c r="E237" s="556">
        <f ca="1">VLOOKUP(A237,Data!C:I,7,FALSE)</f>
        <v>0</v>
      </c>
      <c r="F237" s="636" t="str">
        <f t="shared" si="54"/>
        <v>PR.IP-23</v>
      </c>
      <c r="G237" s="636" t="str">
        <f t="shared" ca="1" si="55"/>
        <v>PR.IP-230</v>
      </c>
    </row>
    <row r="238" spans="1:7" x14ac:dyDescent="0.25">
      <c r="A238" t="s">
        <v>943</v>
      </c>
      <c r="B238" s="556">
        <v>3</v>
      </c>
      <c r="C238" t="s">
        <v>1501</v>
      </c>
      <c r="D238" s="1075" t="s">
        <v>1553</v>
      </c>
      <c r="E238" s="556">
        <f ca="1">VLOOKUP(A238,Data!C:I,7,FALSE)</f>
        <v>0</v>
      </c>
      <c r="F238" s="636" t="str">
        <f t="shared" si="54"/>
        <v>PR.IP-63</v>
      </c>
      <c r="G238" s="636" t="str">
        <f t="shared" ca="1" si="55"/>
        <v>PR.IP-630</v>
      </c>
    </row>
    <row r="239" spans="1:7" x14ac:dyDescent="0.25">
      <c r="A239" t="s">
        <v>105</v>
      </c>
      <c r="B239" s="556">
        <v>1</v>
      </c>
      <c r="C239" t="s">
        <v>1501</v>
      </c>
      <c r="D239" s="1075" t="s">
        <v>1555</v>
      </c>
      <c r="E239" s="556">
        <f ca="1">VLOOKUP(A239,Data!C:I,7,FALSE)</f>
        <v>0</v>
      </c>
      <c r="F239" s="636" t="str">
        <f t="shared" si="54"/>
        <v>PR.IP-11</v>
      </c>
      <c r="G239" s="636" t="str">
        <f t="shared" ca="1" si="55"/>
        <v>PR.IP-110</v>
      </c>
    </row>
    <row r="240" spans="1:7" x14ac:dyDescent="0.25">
      <c r="A240" t="s">
        <v>105</v>
      </c>
      <c r="B240" s="556">
        <v>1</v>
      </c>
      <c r="C240" t="s">
        <v>1501</v>
      </c>
      <c r="D240" s="1075" t="s">
        <v>1544</v>
      </c>
      <c r="E240" s="556">
        <f ca="1">VLOOKUP(A240,Data!C:I,7,FALSE)</f>
        <v>0</v>
      </c>
      <c r="F240" s="636" t="str">
        <f t="shared" si="54"/>
        <v>PR.IP-31</v>
      </c>
      <c r="G240" s="636" t="str">
        <f t="shared" ca="1" si="55"/>
        <v>PR.IP-310</v>
      </c>
    </row>
    <row r="241" spans="1:7" x14ac:dyDescent="0.25">
      <c r="A241" t="s">
        <v>107</v>
      </c>
      <c r="B241" s="556">
        <v>2</v>
      </c>
      <c r="C241" t="s">
        <v>1501</v>
      </c>
      <c r="D241" s="1075" t="s">
        <v>1544</v>
      </c>
      <c r="E241" s="556">
        <f ca="1">VLOOKUP(A241,Data!C:I,7,FALSE)</f>
        <v>0</v>
      </c>
      <c r="F241" s="636" t="str">
        <f t="shared" si="54"/>
        <v>PR.IP-32</v>
      </c>
      <c r="G241" s="636" t="str">
        <f t="shared" ca="1" si="55"/>
        <v>PR.IP-320</v>
      </c>
    </row>
    <row r="242" spans="1:7" x14ac:dyDescent="0.25">
      <c r="A242" t="s">
        <v>109</v>
      </c>
      <c r="B242" s="556">
        <v>2</v>
      </c>
      <c r="C242" t="s">
        <v>1501</v>
      </c>
      <c r="D242" s="1075" t="s">
        <v>1555</v>
      </c>
      <c r="E242" s="556">
        <f ca="1">VLOOKUP(A242,Data!C:I,7,FALSE)</f>
        <v>0</v>
      </c>
      <c r="F242" s="636" t="str">
        <f t="shared" si="54"/>
        <v>PR.IP-12</v>
      </c>
      <c r="G242" s="636" t="str">
        <f t="shared" ca="1" si="55"/>
        <v>PR.IP-120</v>
      </c>
    </row>
    <row r="243" spans="1:7" x14ac:dyDescent="0.25">
      <c r="A243" t="s">
        <v>109</v>
      </c>
      <c r="B243" s="556">
        <v>2</v>
      </c>
      <c r="C243" t="s">
        <v>1501</v>
      </c>
      <c r="D243" s="1075" t="s">
        <v>1544</v>
      </c>
      <c r="E243" s="556">
        <f ca="1">VLOOKUP(A243,Data!C:I,7,FALSE)</f>
        <v>0</v>
      </c>
      <c r="F243" s="636" t="str">
        <f t="shared" si="54"/>
        <v>PR.IP-32</v>
      </c>
      <c r="G243" s="636" t="str">
        <f t="shared" ca="1" si="55"/>
        <v>PR.IP-320</v>
      </c>
    </row>
    <row r="244" spans="1:7" x14ac:dyDescent="0.25">
      <c r="A244" t="s">
        <v>109</v>
      </c>
      <c r="B244" s="556">
        <v>2</v>
      </c>
      <c r="C244" t="s">
        <v>1501</v>
      </c>
      <c r="D244" s="1075" t="s">
        <v>1520</v>
      </c>
      <c r="E244" s="556">
        <f ca="1">VLOOKUP(A244,Data!C:I,7,FALSE)</f>
        <v>0</v>
      </c>
      <c r="F244" s="636" t="str">
        <f t="shared" si="54"/>
        <v>PR.PT-32</v>
      </c>
      <c r="G244" s="636" t="str">
        <f t="shared" ca="1" si="55"/>
        <v>PR.PT-320</v>
      </c>
    </row>
    <row r="245" spans="1:7" x14ac:dyDescent="0.25">
      <c r="A245" t="s">
        <v>111</v>
      </c>
      <c r="B245" s="556">
        <v>2</v>
      </c>
      <c r="C245" t="s">
        <v>1501</v>
      </c>
      <c r="D245" s="1075" t="s">
        <v>1555</v>
      </c>
      <c r="E245" s="556">
        <f ca="1">VLOOKUP(A245,Data!C:I,7,FALSE)</f>
        <v>0</v>
      </c>
      <c r="F245" s="636" t="str">
        <f t="shared" si="54"/>
        <v>PR.IP-12</v>
      </c>
      <c r="G245" s="636" t="str">
        <f t="shared" ca="1" si="55"/>
        <v>PR.IP-120</v>
      </c>
    </row>
    <row r="246" spans="1:7" x14ac:dyDescent="0.25">
      <c r="A246" t="s">
        <v>111</v>
      </c>
      <c r="B246" s="556">
        <v>2</v>
      </c>
      <c r="C246" t="s">
        <v>1501</v>
      </c>
      <c r="D246" s="1075" t="s">
        <v>1544</v>
      </c>
      <c r="E246" s="556">
        <f ca="1">VLOOKUP(A246,Data!C:I,7,FALSE)</f>
        <v>0</v>
      </c>
      <c r="F246" s="636" t="str">
        <f t="shared" si="54"/>
        <v>PR.IP-32</v>
      </c>
      <c r="G246" s="636" t="str">
        <f t="shared" ca="1" si="55"/>
        <v>PR.IP-320</v>
      </c>
    </row>
    <row r="247" spans="1:7" x14ac:dyDescent="0.25">
      <c r="A247" t="s">
        <v>113</v>
      </c>
      <c r="B247" s="556">
        <v>3</v>
      </c>
      <c r="C247" t="s">
        <v>1501</v>
      </c>
      <c r="D247" s="1075" t="s">
        <v>1557</v>
      </c>
      <c r="E247" s="556">
        <f ca="1">VLOOKUP(A247,Data!C:I,7,FALSE)</f>
        <v>0</v>
      </c>
      <c r="F247" s="636" t="str">
        <f t="shared" si="54"/>
        <v>PR.IP-23</v>
      </c>
      <c r="G247" s="636" t="str">
        <f t="shared" ca="1" si="55"/>
        <v>PR.IP-230</v>
      </c>
    </row>
    <row r="248" spans="1:7" x14ac:dyDescent="0.25">
      <c r="A248" t="s">
        <v>113</v>
      </c>
      <c r="B248" s="556">
        <v>3</v>
      </c>
      <c r="C248" t="s">
        <v>1501</v>
      </c>
      <c r="D248" s="1075" t="s">
        <v>1544</v>
      </c>
      <c r="E248" s="556">
        <f ca="1">VLOOKUP(A248,Data!C:I,7,FALSE)</f>
        <v>0</v>
      </c>
      <c r="F248" s="636" t="str">
        <f t="shared" si="54"/>
        <v>PR.IP-33</v>
      </c>
      <c r="G248" s="636" t="str">
        <f t="shared" ca="1" si="55"/>
        <v>PR.IP-330</v>
      </c>
    </row>
    <row r="249" spans="1:7" x14ac:dyDescent="0.25">
      <c r="A249" t="s">
        <v>116</v>
      </c>
      <c r="B249" s="556">
        <v>1</v>
      </c>
      <c r="C249" t="s">
        <v>1501</v>
      </c>
      <c r="D249" s="1075" t="s">
        <v>1540</v>
      </c>
      <c r="E249" s="556">
        <f ca="1">VLOOKUP(A249,Data!C:I,7,FALSE)</f>
        <v>0</v>
      </c>
      <c r="F249" s="636" t="str">
        <f t="shared" si="54"/>
        <v>PR.DS-31</v>
      </c>
      <c r="G249" s="636" t="str">
        <f t="shared" ca="1" si="55"/>
        <v>PR.DS-310</v>
      </c>
    </row>
    <row r="250" spans="1:7" x14ac:dyDescent="0.25">
      <c r="A250" t="s">
        <v>116</v>
      </c>
      <c r="B250" s="556">
        <v>1</v>
      </c>
      <c r="C250" t="s">
        <v>1501</v>
      </c>
      <c r="D250" s="1075" t="s">
        <v>1544</v>
      </c>
      <c r="E250" s="556">
        <f ca="1">VLOOKUP(A250,Data!C:I,7,FALSE)</f>
        <v>0</v>
      </c>
      <c r="F250" s="636" t="str">
        <f t="shared" si="54"/>
        <v>PR.IP-31</v>
      </c>
      <c r="G250" s="636" t="str">
        <f t="shared" ca="1" si="55"/>
        <v>PR.IP-310</v>
      </c>
    </row>
    <row r="251" spans="1:7" x14ac:dyDescent="0.25">
      <c r="A251" t="s">
        <v>116</v>
      </c>
      <c r="B251" s="556">
        <v>1</v>
      </c>
      <c r="C251" t="s">
        <v>1501</v>
      </c>
      <c r="D251" s="1075" t="s">
        <v>1556</v>
      </c>
      <c r="E251" s="556">
        <f ca="1">VLOOKUP(A251,Data!C:I,7,FALSE)</f>
        <v>0</v>
      </c>
      <c r="F251" s="636" t="str">
        <f t="shared" si="54"/>
        <v>PR.MA-11</v>
      </c>
      <c r="G251" s="636" t="str">
        <f t="shared" ca="1" si="55"/>
        <v>PR.MA-110</v>
      </c>
    </row>
    <row r="252" spans="1:7" x14ac:dyDescent="0.25">
      <c r="A252" t="s">
        <v>119</v>
      </c>
      <c r="B252" s="556">
        <v>1</v>
      </c>
      <c r="C252" t="s">
        <v>1501</v>
      </c>
      <c r="D252" s="1075" t="s">
        <v>1540</v>
      </c>
      <c r="E252" s="556">
        <f ca="1">VLOOKUP(A252,Data!C:I,7,FALSE)</f>
        <v>0</v>
      </c>
      <c r="F252" s="636" t="str">
        <f t="shared" si="54"/>
        <v>PR.DS-31</v>
      </c>
      <c r="G252" s="636" t="str">
        <f t="shared" ca="1" si="55"/>
        <v>PR.DS-310</v>
      </c>
    </row>
    <row r="253" spans="1:7" x14ac:dyDescent="0.25">
      <c r="A253" t="s">
        <v>119</v>
      </c>
      <c r="B253" s="556">
        <v>1</v>
      </c>
      <c r="C253" t="s">
        <v>1501</v>
      </c>
      <c r="D253" s="1075" t="s">
        <v>1544</v>
      </c>
      <c r="E253" s="556">
        <f ca="1">VLOOKUP(A253,Data!C:I,7,FALSE)</f>
        <v>0</v>
      </c>
      <c r="F253" s="636" t="str">
        <f t="shared" si="54"/>
        <v>PR.IP-31</v>
      </c>
      <c r="G253" s="636" t="str">
        <f t="shared" ca="1" si="55"/>
        <v>PR.IP-310</v>
      </c>
    </row>
    <row r="254" spans="1:7" x14ac:dyDescent="0.25">
      <c r="A254" t="s">
        <v>119</v>
      </c>
      <c r="B254" s="556">
        <v>1</v>
      </c>
      <c r="C254" t="s">
        <v>1501</v>
      </c>
      <c r="D254" s="1075" t="s">
        <v>1556</v>
      </c>
      <c r="E254" s="556">
        <f ca="1">VLOOKUP(A254,Data!C:I,7,FALSE)</f>
        <v>0</v>
      </c>
      <c r="F254" s="636" t="str">
        <f t="shared" si="54"/>
        <v>PR.MA-11</v>
      </c>
      <c r="G254" s="636" t="str">
        <f t="shared" ca="1" si="55"/>
        <v>PR.MA-110</v>
      </c>
    </row>
    <row r="255" spans="1:7" x14ac:dyDescent="0.25">
      <c r="A255" t="s">
        <v>122</v>
      </c>
      <c r="B255" s="556">
        <v>2</v>
      </c>
      <c r="C255" t="s">
        <v>1501</v>
      </c>
      <c r="D255" s="1075" t="s">
        <v>1540</v>
      </c>
      <c r="E255" s="556">
        <f ca="1">VLOOKUP(A255,Data!C:I,7,FALSE)</f>
        <v>0</v>
      </c>
      <c r="F255" s="636" t="str">
        <f t="shared" si="54"/>
        <v>PR.DS-32</v>
      </c>
      <c r="G255" s="636" t="str">
        <f t="shared" ca="1" si="55"/>
        <v>PR.DS-320</v>
      </c>
    </row>
    <row r="256" spans="1:7" x14ac:dyDescent="0.25">
      <c r="A256" t="s">
        <v>122</v>
      </c>
      <c r="B256" s="556">
        <v>2</v>
      </c>
      <c r="C256" t="s">
        <v>1501</v>
      </c>
      <c r="D256" s="1078" t="s">
        <v>1544</v>
      </c>
      <c r="E256" s="556">
        <f ca="1">VLOOKUP(A256,Data!C:I,7,FALSE)</f>
        <v>0</v>
      </c>
      <c r="F256" s="636" t="str">
        <f t="shared" si="54"/>
        <v>PR.IP-32</v>
      </c>
      <c r="G256" s="636" t="str">
        <f t="shared" ca="1" si="55"/>
        <v>PR.IP-320</v>
      </c>
    </row>
    <row r="257" spans="1:7" x14ac:dyDescent="0.25">
      <c r="A257" t="s">
        <v>122</v>
      </c>
      <c r="B257" s="556">
        <v>2</v>
      </c>
      <c r="C257" t="s">
        <v>1501</v>
      </c>
      <c r="D257" s="1075" t="s">
        <v>1556</v>
      </c>
      <c r="E257" s="556">
        <f ca="1">VLOOKUP(A257,Data!C:I,7,FALSE)</f>
        <v>0</v>
      </c>
      <c r="F257" s="636" t="str">
        <f t="shared" si="54"/>
        <v>PR.MA-12</v>
      </c>
      <c r="G257" s="636" t="str">
        <f t="shared" ca="1" si="55"/>
        <v>PR.MA-120</v>
      </c>
    </row>
    <row r="258" spans="1:7" x14ac:dyDescent="0.25">
      <c r="A258" t="s">
        <v>125</v>
      </c>
      <c r="B258" s="556">
        <v>2</v>
      </c>
      <c r="C258" t="s">
        <v>1501</v>
      </c>
      <c r="D258" s="1075" t="s">
        <v>1557</v>
      </c>
      <c r="E258" s="556">
        <f ca="1">VLOOKUP(A258,Data!C:I,7,FALSE)</f>
        <v>0</v>
      </c>
      <c r="F258" s="636" t="str">
        <f t="shared" si="54"/>
        <v>PR.IP-22</v>
      </c>
      <c r="G258" s="636" t="str">
        <f t="shared" ca="1" si="55"/>
        <v>PR.IP-220</v>
      </c>
    </row>
    <row r="259" spans="1:7" x14ac:dyDescent="0.25">
      <c r="A259" t="s">
        <v>125</v>
      </c>
      <c r="B259" s="556">
        <v>2</v>
      </c>
      <c r="C259" t="s">
        <v>1501</v>
      </c>
      <c r="D259" s="1075" t="s">
        <v>1544</v>
      </c>
      <c r="E259" s="556">
        <f ca="1">VLOOKUP(A259,Data!C:I,7,FALSE)</f>
        <v>0</v>
      </c>
      <c r="F259" s="636" t="str">
        <f t="shared" ref="F259:F322" si="56">CONCATENATE($D259,$B259)</f>
        <v>PR.IP-32</v>
      </c>
      <c r="G259" s="636" t="str">
        <f t="shared" ref="G259:G322" ca="1" si="57">_xlfn.IFNA(CONCATENATE(F259,$E259),CONCATENATE(F259,$E259,0))</f>
        <v>PR.IP-320</v>
      </c>
    </row>
    <row r="260" spans="1:7" x14ac:dyDescent="0.25">
      <c r="A260" t="s">
        <v>125</v>
      </c>
      <c r="B260" s="556">
        <v>2</v>
      </c>
      <c r="C260" t="s">
        <v>1501</v>
      </c>
      <c r="D260" s="1075" t="s">
        <v>1556</v>
      </c>
      <c r="E260" s="556">
        <f ca="1">VLOOKUP(A260,Data!C:I,7,FALSE)</f>
        <v>0</v>
      </c>
      <c r="F260" s="636" t="str">
        <f t="shared" si="56"/>
        <v>PR.MA-12</v>
      </c>
      <c r="G260" s="636" t="str">
        <f t="shared" ca="1" si="57"/>
        <v>PR.MA-120</v>
      </c>
    </row>
    <row r="261" spans="1:7" x14ac:dyDescent="0.25">
      <c r="A261" t="s">
        <v>128</v>
      </c>
      <c r="B261" s="556">
        <v>2</v>
      </c>
      <c r="C261" t="s">
        <v>1501</v>
      </c>
      <c r="D261" s="1075" t="s">
        <v>1540</v>
      </c>
      <c r="E261" s="556">
        <f ca="1">VLOOKUP(A261,Data!C:I,7,FALSE)</f>
        <v>0</v>
      </c>
      <c r="F261" s="636" t="str">
        <f t="shared" si="56"/>
        <v>PR.DS-32</v>
      </c>
      <c r="G261" s="636" t="str">
        <f t="shared" ca="1" si="57"/>
        <v>PR.DS-320</v>
      </c>
    </row>
    <row r="262" spans="1:7" x14ac:dyDescent="0.25">
      <c r="A262" t="s">
        <v>128</v>
      </c>
      <c r="B262" s="556">
        <v>2</v>
      </c>
      <c r="C262" t="s">
        <v>1501</v>
      </c>
      <c r="D262" s="1075" t="s">
        <v>1544</v>
      </c>
      <c r="E262" s="556">
        <f ca="1">VLOOKUP(A262,Data!C:I,7,FALSE)</f>
        <v>0</v>
      </c>
      <c r="F262" s="636" t="str">
        <f t="shared" si="56"/>
        <v>PR.IP-32</v>
      </c>
      <c r="G262" s="636" t="str">
        <f t="shared" ca="1" si="57"/>
        <v>PR.IP-320</v>
      </c>
    </row>
    <row r="263" spans="1:7" x14ac:dyDescent="0.25">
      <c r="A263" t="s">
        <v>130</v>
      </c>
      <c r="B263" s="556">
        <v>2</v>
      </c>
      <c r="C263" t="s">
        <v>1501</v>
      </c>
      <c r="D263" s="1075" t="s">
        <v>1544</v>
      </c>
      <c r="E263" s="556">
        <f ca="1">VLOOKUP(A263,Data!C:I,7,FALSE)</f>
        <v>0</v>
      </c>
      <c r="F263" s="636" t="str">
        <f t="shared" si="56"/>
        <v>PR.IP-32</v>
      </c>
      <c r="G263" s="636" t="str">
        <f t="shared" ca="1" si="57"/>
        <v>PR.IP-320</v>
      </c>
    </row>
    <row r="264" spans="1:7" x14ac:dyDescent="0.25">
      <c r="A264" t="s">
        <v>2614</v>
      </c>
      <c r="B264" s="556">
        <v>2</v>
      </c>
      <c r="C264" t="s">
        <v>1501</v>
      </c>
      <c r="D264" s="1075" t="s">
        <v>1540</v>
      </c>
      <c r="E264" s="556">
        <f ca="1">VLOOKUP(A264,Data!C:I,7,FALSE)</f>
        <v>0</v>
      </c>
      <c r="F264" s="636" t="str">
        <f t="shared" si="56"/>
        <v>PR.DS-32</v>
      </c>
      <c r="G264" s="636" t="str">
        <f t="shared" ca="1" si="57"/>
        <v>PR.DS-320</v>
      </c>
    </row>
    <row r="265" spans="1:7" x14ac:dyDescent="0.25">
      <c r="A265" t="s">
        <v>2614</v>
      </c>
      <c r="B265" s="556">
        <v>2</v>
      </c>
      <c r="C265" t="s">
        <v>1501</v>
      </c>
      <c r="D265" s="1075" t="s">
        <v>1538</v>
      </c>
      <c r="E265" s="556">
        <f ca="1">VLOOKUP(A265,Data!C:I,7,FALSE)</f>
        <v>0</v>
      </c>
      <c r="F265" s="636" t="str">
        <f t="shared" si="56"/>
        <v>PR.DS-62</v>
      </c>
      <c r="G265" s="636" t="str">
        <f t="shared" ca="1" si="57"/>
        <v>PR.DS-620</v>
      </c>
    </row>
    <row r="266" spans="1:7" x14ac:dyDescent="0.25">
      <c r="A266" t="s">
        <v>2614</v>
      </c>
      <c r="B266" s="556">
        <v>2</v>
      </c>
      <c r="C266" t="s">
        <v>1501</v>
      </c>
      <c r="D266" s="1075" t="s">
        <v>1557</v>
      </c>
      <c r="E266" s="556">
        <f ca="1">VLOOKUP(A266,Data!C:I,7,FALSE)</f>
        <v>0</v>
      </c>
      <c r="F266" s="636" t="str">
        <f t="shared" si="56"/>
        <v>PR.IP-22</v>
      </c>
      <c r="G266" s="636" t="str">
        <f t="shared" ca="1" si="57"/>
        <v>PR.IP-220</v>
      </c>
    </row>
    <row r="267" spans="1:7" x14ac:dyDescent="0.25">
      <c r="A267" t="s">
        <v>2614</v>
      </c>
      <c r="B267" s="556">
        <v>2</v>
      </c>
      <c r="C267" t="s">
        <v>1501</v>
      </c>
      <c r="D267" s="1075" t="s">
        <v>1544</v>
      </c>
      <c r="E267" s="556">
        <f ca="1">VLOOKUP(A267,Data!C:I,7,FALSE)</f>
        <v>0</v>
      </c>
      <c r="F267" s="636" t="str">
        <f t="shared" si="56"/>
        <v>PR.IP-32</v>
      </c>
      <c r="G267" s="636" t="str">
        <f t="shared" ca="1" si="57"/>
        <v>PR.IP-320</v>
      </c>
    </row>
    <row r="268" spans="1:7" x14ac:dyDescent="0.25">
      <c r="A268" t="s">
        <v>2614</v>
      </c>
      <c r="B268" s="556">
        <v>2</v>
      </c>
      <c r="C268" t="s">
        <v>1501</v>
      </c>
      <c r="D268" s="1075" t="s">
        <v>1553</v>
      </c>
      <c r="E268" s="556">
        <f ca="1">VLOOKUP(A268,Data!C:I,7,FALSE)</f>
        <v>0</v>
      </c>
      <c r="F268" s="636" t="str">
        <f t="shared" si="56"/>
        <v>PR.IP-62</v>
      </c>
      <c r="G268" s="636" t="str">
        <f t="shared" ca="1" si="57"/>
        <v>PR.IP-620</v>
      </c>
    </row>
    <row r="269" spans="1:7" x14ac:dyDescent="0.25">
      <c r="A269" t="s">
        <v>2614</v>
      </c>
      <c r="B269" s="556">
        <v>2</v>
      </c>
      <c r="C269" t="s">
        <v>1501</v>
      </c>
      <c r="D269" s="1075" t="s">
        <v>1556</v>
      </c>
      <c r="E269" s="556">
        <f ca="1">VLOOKUP(A269,Data!C:I,7,FALSE)</f>
        <v>0</v>
      </c>
      <c r="F269" s="636" t="str">
        <f t="shared" si="56"/>
        <v>PR.MA-12</v>
      </c>
      <c r="G269" s="636" t="str">
        <f t="shared" ca="1" si="57"/>
        <v>PR.MA-120</v>
      </c>
    </row>
    <row r="270" spans="1:7" x14ac:dyDescent="0.25">
      <c r="A270" t="s">
        <v>2615</v>
      </c>
      <c r="B270" s="556">
        <v>3</v>
      </c>
      <c r="C270" t="s">
        <v>1501</v>
      </c>
      <c r="D270" s="1075" t="s">
        <v>1544</v>
      </c>
      <c r="E270" s="556">
        <f ca="1">VLOOKUP(A270,Data!C:I,7,FALSE)</f>
        <v>0</v>
      </c>
      <c r="F270" s="636" t="str">
        <f t="shared" si="56"/>
        <v>PR.IP-33</v>
      </c>
      <c r="G270" s="636" t="str">
        <f t="shared" ca="1" si="57"/>
        <v>PR.IP-330</v>
      </c>
    </row>
    <row r="271" spans="1:7" x14ac:dyDescent="0.25">
      <c r="A271" t="s">
        <v>2615</v>
      </c>
      <c r="B271" s="556">
        <v>3</v>
      </c>
      <c r="C271" t="s">
        <v>1501</v>
      </c>
      <c r="D271" s="1075" t="s">
        <v>1556</v>
      </c>
      <c r="E271" s="556">
        <f ca="1">VLOOKUP(A271,Data!C:I,7,FALSE)</f>
        <v>0</v>
      </c>
      <c r="F271" s="636" t="str">
        <f t="shared" si="56"/>
        <v>PR.MA-13</v>
      </c>
      <c r="G271" s="636" t="str">
        <f t="shared" ca="1" si="57"/>
        <v>PR.MA-130</v>
      </c>
    </row>
    <row r="272" spans="1:7" x14ac:dyDescent="0.25">
      <c r="A272" t="s">
        <v>2616</v>
      </c>
      <c r="B272" s="556">
        <v>3</v>
      </c>
      <c r="C272" t="s">
        <v>1501</v>
      </c>
      <c r="D272" s="1075" t="s">
        <v>1544</v>
      </c>
      <c r="E272" s="556">
        <f ca="1">VLOOKUP(A272,Data!C:I,7,FALSE)</f>
        <v>0</v>
      </c>
      <c r="F272" s="636" t="str">
        <f t="shared" si="56"/>
        <v>PR.IP-33</v>
      </c>
      <c r="G272" s="636" t="str">
        <f t="shared" ca="1" si="57"/>
        <v>PR.IP-330</v>
      </c>
    </row>
    <row r="273" spans="1:7" x14ac:dyDescent="0.25">
      <c r="A273" t="s">
        <v>2616</v>
      </c>
      <c r="B273" s="556">
        <v>3</v>
      </c>
      <c r="C273" t="s">
        <v>1501</v>
      </c>
      <c r="D273" s="1075" t="s">
        <v>1556</v>
      </c>
      <c r="E273" s="556">
        <f ca="1">VLOOKUP(A273,Data!C:I,7,FALSE)</f>
        <v>0</v>
      </c>
      <c r="F273" s="636" t="str">
        <f t="shared" si="56"/>
        <v>PR.MA-13</v>
      </c>
      <c r="G273" s="636" t="str">
        <f t="shared" ca="1" si="57"/>
        <v>PR.MA-130</v>
      </c>
    </row>
    <row r="274" spans="1:7" x14ac:dyDescent="0.25">
      <c r="A274" t="s">
        <v>139</v>
      </c>
      <c r="B274" s="556">
        <v>3</v>
      </c>
      <c r="C274" t="s">
        <v>446</v>
      </c>
      <c r="D274" s="1079" t="s">
        <v>1562</v>
      </c>
      <c r="E274" s="556">
        <f ca="1">VLOOKUP(A274,Data!C:I,7,FALSE)</f>
        <v>0</v>
      </c>
      <c r="F274" s="636" t="str">
        <f t="shared" si="56"/>
        <v>ID.GV-13</v>
      </c>
      <c r="G274" s="636" t="str">
        <f t="shared" ca="1" si="57"/>
        <v>ID.GV-130</v>
      </c>
    </row>
    <row r="275" spans="1:7" x14ac:dyDescent="0.25">
      <c r="A275" t="s">
        <v>139</v>
      </c>
      <c r="B275" s="556">
        <v>3</v>
      </c>
      <c r="C275" t="s">
        <v>446</v>
      </c>
      <c r="D275" s="1079" t="s">
        <v>1576</v>
      </c>
      <c r="E275" s="556">
        <f ca="1">VLOOKUP(A275,Data!C:I,7,FALSE)</f>
        <v>0</v>
      </c>
      <c r="F275" s="636" t="str">
        <f t="shared" si="56"/>
        <v>ID.GV-33</v>
      </c>
      <c r="G275" s="636" t="str">
        <f t="shared" ca="1" si="57"/>
        <v>ID.GV-330</v>
      </c>
    </row>
    <row r="276" spans="1:7" x14ac:dyDescent="0.25">
      <c r="A276" t="s">
        <v>141</v>
      </c>
      <c r="B276" s="556">
        <v>3</v>
      </c>
      <c r="C276" t="s">
        <v>446</v>
      </c>
      <c r="D276" s="1079" t="s">
        <v>1529</v>
      </c>
      <c r="E276" s="556">
        <f ca="1">VLOOKUP(A276,Data!C:I,7,FALSE)</f>
        <v>0</v>
      </c>
      <c r="F276" s="636" t="str">
        <f t="shared" si="56"/>
        <v>ID.AM-63</v>
      </c>
      <c r="G276" s="636" t="str">
        <f t="shared" ca="1" si="57"/>
        <v>ID.AM-630</v>
      </c>
    </row>
    <row r="277" spans="1:7" x14ac:dyDescent="0.25">
      <c r="A277" t="s">
        <v>141</v>
      </c>
      <c r="B277" s="556">
        <v>3</v>
      </c>
      <c r="C277" t="s">
        <v>446</v>
      </c>
      <c r="D277" s="1079" t="s">
        <v>1562</v>
      </c>
      <c r="E277" s="556">
        <f ca="1">VLOOKUP(A277,Data!C:I,7,FALSE)</f>
        <v>0</v>
      </c>
      <c r="F277" s="636" t="str">
        <f t="shared" si="56"/>
        <v>ID.GV-13</v>
      </c>
      <c r="G277" s="636" t="str">
        <f t="shared" ca="1" si="57"/>
        <v>ID.GV-130</v>
      </c>
    </row>
    <row r="278" spans="1:7" x14ac:dyDescent="0.25">
      <c r="A278" t="s">
        <v>141</v>
      </c>
      <c r="B278" s="556">
        <v>3</v>
      </c>
      <c r="C278" t="s">
        <v>446</v>
      </c>
      <c r="D278" s="1079" t="s">
        <v>1530</v>
      </c>
      <c r="E278" s="556">
        <f ca="1">VLOOKUP(A278,Data!C:I,7,FALSE)</f>
        <v>0</v>
      </c>
      <c r="F278" s="636" t="str">
        <f t="shared" si="56"/>
        <v>ID.GV-23</v>
      </c>
      <c r="G278" s="636" t="str">
        <f t="shared" ca="1" si="57"/>
        <v>ID.GV-230</v>
      </c>
    </row>
    <row r="279" spans="1:7" x14ac:dyDescent="0.25">
      <c r="A279" t="s">
        <v>141</v>
      </c>
      <c r="B279" s="556">
        <v>3</v>
      </c>
      <c r="C279" t="s">
        <v>446</v>
      </c>
      <c r="D279" s="1079" t="s">
        <v>1576</v>
      </c>
      <c r="E279" s="556">
        <f ca="1">VLOOKUP(A279,Data!C:I,7,FALSE)</f>
        <v>0</v>
      </c>
      <c r="F279" s="636" t="str">
        <f t="shared" si="56"/>
        <v>ID.GV-33</v>
      </c>
      <c r="G279" s="636" t="str">
        <f t="shared" ca="1" si="57"/>
        <v>ID.GV-330</v>
      </c>
    </row>
    <row r="280" spans="1:7" x14ac:dyDescent="0.25">
      <c r="A280" t="s">
        <v>141</v>
      </c>
      <c r="B280" s="556">
        <v>3</v>
      </c>
      <c r="C280" t="s">
        <v>1501</v>
      </c>
      <c r="D280" s="1075" t="s">
        <v>1615</v>
      </c>
      <c r="E280" s="556">
        <f ca="1">VLOOKUP(A280,Data!C:I,7,FALSE)</f>
        <v>0</v>
      </c>
      <c r="F280" s="636" t="str">
        <f t="shared" si="56"/>
        <v>PR.AT-23</v>
      </c>
      <c r="G280" s="636" t="str">
        <f t="shared" ca="1" si="57"/>
        <v>PR.AT-230</v>
      </c>
    </row>
    <row r="281" spans="1:7" x14ac:dyDescent="0.25">
      <c r="A281" t="s">
        <v>141</v>
      </c>
      <c r="B281" s="556">
        <v>3</v>
      </c>
      <c r="C281" t="s">
        <v>1501</v>
      </c>
      <c r="D281" s="1075" t="s">
        <v>1616</v>
      </c>
      <c r="E281" s="556">
        <f ca="1">VLOOKUP(A281,Data!C:I,7,FALSE)</f>
        <v>0</v>
      </c>
      <c r="F281" s="636" t="str">
        <f t="shared" si="56"/>
        <v>PR.AT-33</v>
      </c>
      <c r="G281" s="636" t="str">
        <f t="shared" ca="1" si="57"/>
        <v>PR.AT-330</v>
      </c>
    </row>
    <row r="282" spans="1:7" x14ac:dyDescent="0.25">
      <c r="A282" t="s">
        <v>141</v>
      </c>
      <c r="B282" s="556">
        <v>3</v>
      </c>
      <c r="C282" t="s">
        <v>1501</v>
      </c>
      <c r="D282" s="1075" t="s">
        <v>1565</v>
      </c>
      <c r="E282" s="556">
        <f ca="1">VLOOKUP(A282,Data!C:I,7,FALSE)</f>
        <v>0</v>
      </c>
      <c r="F282" s="636" t="str">
        <f t="shared" si="56"/>
        <v>PR.AT-43</v>
      </c>
      <c r="G282" s="636" t="str">
        <f t="shared" ca="1" si="57"/>
        <v>PR.AT-430</v>
      </c>
    </row>
    <row r="283" spans="1:7" x14ac:dyDescent="0.25">
      <c r="A283" t="s">
        <v>141</v>
      </c>
      <c r="B283" s="556">
        <v>3</v>
      </c>
      <c r="C283" t="s">
        <v>1501</v>
      </c>
      <c r="D283" s="1075" t="s">
        <v>1617</v>
      </c>
      <c r="E283" s="556">
        <f ca="1">VLOOKUP(A283,Data!C:I,7,FALSE)</f>
        <v>0</v>
      </c>
      <c r="F283" s="636" t="str">
        <f t="shared" si="56"/>
        <v>PR.AT-53</v>
      </c>
      <c r="G283" s="636" t="str">
        <f t="shared" ca="1" si="57"/>
        <v>PR.AT-530</v>
      </c>
    </row>
    <row r="284" spans="1:7" x14ac:dyDescent="0.25">
      <c r="A284" t="s">
        <v>143</v>
      </c>
      <c r="B284" s="556">
        <v>3</v>
      </c>
      <c r="C284" t="s">
        <v>1501</v>
      </c>
      <c r="D284" s="1075" t="s">
        <v>1619</v>
      </c>
      <c r="E284" s="556">
        <f ca="1">VLOOKUP(A284,Data!C:I,7,FALSE)</f>
        <v>0</v>
      </c>
      <c r="F284" s="636" t="str">
        <f t="shared" si="56"/>
        <v>PR.AT-13</v>
      </c>
      <c r="G284" s="636" t="str">
        <f t="shared" ca="1" si="57"/>
        <v>PR.AT-130</v>
      </c>
    </row>
    <row r="285" spans="1:7" x14ac:dyDescent="0.25">
      <c r="A285" t="s">
        <v>145</v>
      </c>
      <c r="B285" s="556">
        <v>3</v>
      </c>
      <c r="C285" t="s">
        <v>1501</v>
      </c>
      <c r="D285" s="1075" t="s">
        <v>1781</v>
      </c>
      <c r="E285" s="556">
        <f ca="1">VLOOKUP(A285,Data!C:I,7,FALSE)</f>
        <v>0</v>
      </c>
      <c r="F285" s="636" t="str">
        <f t="shared" si="56"/>
        <v>PR.IP-73</v>
      </c>
      <c r="G285" s="636" t="str">
        <f t="shared" ca="1" si="57"/>
        <v>PR.IP-730</v>
      </c>
    </row>
    <row r="286" spans="1:7" x14ac:dyDescent="0.25">
      <c r="A286" t="s">
        <v>336</v>
      </c>
      <c r="B286" s="556">
        <v>1</v>
      </c>
      <c r="C286" t="s">
        <v>446</v>
      </c>
      <c r="D286" s="1079" t="s">
        <v>1564</v>
      </c>
      <c r="E286" s="556">
        <f ca="1">VLOOKUP(A286,Data!C:I,7,FALSE)</f>
        <v>0</v>
      </c>
      <c r="F286" s="636" t="str">
        <f t="shared" si="56"/>
        <v>ID.BE-31</v>
      </c>
      <c r="G286" s="636" t="str">
        <f t="shared" ca="1" si="57"/>
        <v>ID.BE-310</v>
      </c>
    </row>
    <row r="287" spans="1:7" x14ac:dyDescent="0.25">
      <c r="A287" t="s">
        <v>337</v>
      </c>
      <c r="B287" s="556">
        <v>2</v>
      </c>
      <c r="C287" t="s">
        <v>446</v>
      </c>
      <c r="D287" s="1079" t="s">
        <v>1564</v>
      </c>
      <c r="E287" s="556">
        <f ca="1">VLOOKUP(A287,Data!C:I,7,FALSE)</f>
        <v>0</v>
      </c>
      <c r="F287" s="636" t="str">
        <f t="shared" si="56"/>
        <v>ID.BE-32</v>
      </c>
      <c r="G287" s="636" t="str">
        <f t="shared" ca="1" si="57"/>
        <v>ID.BE-320</v>
      </c>
    </row>
    <row r="288" spans="1:7" x14ac:dyDescent="0.25">
      <c r="A288" t="s">
        <v>338</v>
      </c>
      <c r="B288" s="556">
        <v>2</v>
      </c>
      <c r="C288" t="s">
        <v>446</v>
      </c>
      <c r="D288" s="1079" t="s">
        <v>1561</v>
      </c>
      <c r="E288" s="556">
        <f ca="1">VLOOKUP(A288,Data!C:I,7,FALSE)</f>
        <v>0</v>
      </c>
      <c r="F288" s="636" t="str">
        <f t="shared" si="56"/>
        <v>ID.BE-12</v>
      </c>
      <c r="G288" s="636" t="str">
        <f t="shared" ca="1" si="57"/>
        <v>ID.BE-120</v>
      </c>
    </row>
    <row r="289" spans="1:7" x14ac:dyDescent="0.25">
      <c r="A289" t="s">
        <v>338</v>
      </c>
      <c r="B289" s="556">
        <v>2</v>
      </c>
      <c r="C289" t="s">
        <v>446</v>
      </c>
      <c r="D289" s="1079" t="s">
        <v>1559</v>
      </c>
      <c r="E289" s="556">
        <f ca="1">VLOOKUP(A289,Data!C:I,7,FALSE)</f>
        <v>0</v>
      </c>
      <c r="F289" s="636" t="str">
        <f t="shared" si="56"/>
        <v>ID.BE-22</v>
      </c>
      <c r="G289" s="636" t="str">
        <f t="shared" ca="1" si="57"/>
        <v>ID.BE-220</v>
      </c>
    </row>
    <row r="290" spans="1:7" x14ac:dyDescent="0.25">
      <c r="A290" t="s">
        <v>338</v>
      </c>
      <c r="B290" s="556">
        <v>2</v>
      </c>
      <c r="C290" t="s">
        <v>446</v>
      </c>
      <c r="D290" s="1079" t="s">
        <v>1564</v>
      </c>
      <c r="E290" s="556">
        <f ca="1">VLOOKUP(A290,Data!C:I,7,FALSE)</f>
        <v>0</v>
      </c>
      <c r="F290" s="636" t="str">
        <f t="shared" si="56"/>
        <v>ID.BE-32</v>
      </c>
      <c r="G290" s="636" t="str">
        <f t="shared" ca="1" si="57"/>
        <v>ID.BE-320</v>
      </c>
    </row>
    <row r="291" spans="1:7" x14ac:dyDescent="0.25">
      <c r="A291" t="s">
        <v>339</v>
      </c>
      <c r="B291" s="556">
        <v>2</v>
      </c>
      <c r="C291" t="s">
        <v>446</v>
      </c>
      <c r="D291" s="1079" t="s">
        <v>1562</v>
      </c>
      <c r="E291" s="556">
        <f ca="1">VLOOKUP(A291,Data!C:I,7,FALSE)</f>
        <v>0</v>
      </c>
      <c r="F291" s="636" t="str">
        <f t="shared" si="56"/>
        <v>ID.GV-12</v>
      </c>
      <c r="G291" s="636" t="str">
        <f t="shared" ca="1" si="57"/>
        <v>ID.GV-120</v>
      </c>
    </row>
    <row r="292" spans="1:7" x14ac:dyDescent="0.25">
      <c r="A292" t="s">
        <v>339</v>
      </c>
      <c r="B292" s="556">
        <v>2</v>
      </c>
      <c r="C292" t="s">
        <v>446</v>
      </c>
      <c r="D292" s="1079" t="s">
        <v>1566</v>
      </c>
      <c r="E292" s="556">
        <f ca="1">VLOOKUP(A292,Data!C:I,7,FALSE)</f>
        <v>0</v>
      </c>
      <c r="F292" s="636" t="str">
        <f t="shared" si="56"/>
        <v>ID.GV-42</v>
      </c>
      <c r="G292" s="636" t="str">
        <f t="shared" ca="1" si="57"/>
        <v>ID.GV-420</v>
      </c>
    </row>
    <row r="293" spans="1:7" x14ac:dyDescent="0.25">
      <c r="A293" t="s">
        <v>340</v>
      </c>
      <c r="B293" s="556">
        <v>2</v>
      </c>
      <c r="C293" t="s">
        <v>446</v>
      </c>
      <c r="D293" s="1079" t="s">
        <v>1529</v>
      </c>
      <c r="E293" s="556">
        <f ca="1">VLOOKUP(A293,Data!C:I,7,FALSE)</f>
        <v>0</v>
      </c>
      <c r="F293" s="636" t="str">
        <f t="shared" si="56"/>
        <v>ID.AM-62</v>
      </c>
      <c r="G293" s="636" t="str">
        <f t="shared" ca="1" si="57"/>
        <v>ID.AM-620</v>
      </c>
    </row>
    <row r="294" spans="1:7" x14ac:dyDescent="0.25">
      <c r="A294" t="s">
        <v>340</v>
      </c>
      <c r="B294" s="556">
        <v>2</v>
      </c>
      <c r="C294" t="s">
        <v>446</v>
      </c>
      <c r="D294" s="1079" t="s">
        <v>1562</v>
      </c>
      <c r="E294" s="556">
        <f ca="1">VLOOKUP(A294,Data!C:I,7,FALSE)</f>
        <v>0</v>
      </c>
      <c r="F294" s="636" t="str">
        <f t="shared" si="56"/>
        <v>ID.GV-12</v>
      </c>
      <c r="G294" s="636" t="str">
        <f t="shared" ca="1" si="57"/>
        <v>ID.GV-120</v>
      </c>
    </row>
    <row r="295" spans="1:7" x14ac:dyDescent="0.25">
      <c r="A295" t="s">
        <v>340</v>
      </c>
      <c r="B295" s="556">
        <v>2</v>
      </c>
      <c r="C295" t="s">
        <v>446</v>
      </c>
      <c r="D295" s="1079" t="s">
        <v>1530</v>
      </c>
      <c r="E295" s="556">
        <f ca="1">VLOOKUP(A295,Data!C:I,7,FALSE)</f>
        <v>0</v>
      </c>
      <c r="F295" s="636" t="str">
        <f t="shared" si="56"/>
        <v>ID.GV-22</v>
      </c>
      <c r="G295" s="636" t="str">
        <f t="shared" ca="1" si="57"/>
        <v>ID.GV-220</v>
      </c>
    </row>
    <row r="296" spans="1:7" x14ac:dyDescent="0.25">
      <c r="A296" t="s">
        <v>341</v>
      </c>
      <c r="B296" s="556">
        <v>2</v>
      </c>
      <c r="C296" t="s">
        <v>446</v>
      </c>
      <c r="D296" s="1079" t="s">
        <v>1562</v>
      </c>
      <c r="E296" s="556">
        <f ca="1">VLOOKUP(A296,Data!C:I,7,FALSE)</f>
        <v>0</v>
      </c>
      <c r="F296" s="636" t="str">
        <f t="shared" si="56"/>
        <v>ID.GV-12</v>
      </c>
      <c r="G296" s="636" t="str">
        <f t="shared" ca="1" si="57"/>
        <v>ID.GV-120</v>
      </c>
    </row>
    <row r="297" spans="1:7" x14ac:dyDescent="0.25">
      <c r="A297" t="s">
        <v>341</v>
      </c>
      <c r="B297" s="556">
        <v>2</v>
      </c>
      <c r="C297" t="s">
        <v>446</v>
      </c>
      <c r="D297" s="1079" t="s">
        <v>1576</v>
      </c>
      <c r="E297" s="556">
        <f ca="1">VLOOKUP(A297,Data!C:I,7,FALSE)</f>
        <v>0</v>
      </c>
      <c r="F297" s="636" t="str">
        <f t="shared" si="56"/>
        <v>ID.GV-32</v>
      </c>
      <c r="G297" s="636" t="str">
        <f t="shared" ca="1" si="57"/>
        <v>ID.GV-320</v>
      </c>
    </row>
    <row r="298" spans="1:7" x14ac:dyDescent="0.25">
      <c r="A298" t="s">
        <v>341</v>
      </c>
      <c r="B298" s="556">
        <v>2</v>
      </c>
      <c r="C298" t="s">
        <v>1501</v>
      </c>
      <c r="D298" s="1075" t="s">
        <v>1558</v>
      </c>
      <c r="E298" s="556">
        <f ca="1">VLOOKUP(A298,Data!C:I,7,FALSE)</f>
        <v>0</v>
      </c>
      <c r="F298" s="636" t="str">
        <f t="shared" si="56"/>
        <v>PR.IP-52</v>
      </c>
      <c r="G298" s="636" t="str">
        <f t="shared" ca="1" si="57"/>
        <v>PR.IP-520</v>
      </c>
    </row>
    <row r="299" spans="1:7" x14ac:dyDescent="0.25">
      <c r="A299" t="s">
        <v>342</v>
      </c>
      <c r="B299" s="556">
        <v>2</v>
      </c>
      <c r="C299" t="s">
        <v>446</v>
      </c>
      <c r="D299" s="1079" t="s">
        <v>1576</v>
      </c>
      <c r="E299" s="556">
        <f ca="1">VLOOKUP(A299,Data!C:I,7,FALSE)</f>
        <v>0</v>
      </c>
      <c r="F299" s="636" t="str">
        <f t="shared" si="56"/>
        <v>ID.GV-32</v>
      </c>
      <c r="G299" s="636" t="str">
        <f t="shared" ca="1" si="57"/>
        <v>ID.GV-320</v>
      </c>
    </row>
    <row r="300" spans="1:7" x14ac:dyDescent="0.25">
      <c r="A300" t="s">
        <v>342</v>
      </c>
      <c r="B300" s="556">
        <v>2</v>
      </c>
      <c r="C300" t="s">
        <v>1501</v>
      </c>
      <c r="D300" s="1075" t="s">
        <v>1558</v>
      </c>
      <c r="E300" s="556">
        <f ca="1">VLOOKUP(A300,Data!C:I,7,FALSE)</f>
        <v>0</v>
      </c>
      <c r="F300" s="636" t="str">
        <f t="shared" si="56"/>
        <v>PR.IP-52</v>
      </c>
      <c r="G300" s="636" t="str">
        <f t="shared" ca="1" si="57"/>
        <v>PR.IP-520</v>
      </c>
    </row>
    <row r="301" spans="1:7" x14ac:dyDescent="0.25">
      <c r="A301" t="s">
        <v>342</v>
      </c>
      <c r="B301" s="556">
        <v>2</v>
      </c>
      <c r="C301" t="s">
        <v>1502</v>
      </c>
      <c r="D301" s="1076" t="s">
        <v>1580</v>
      </c>
      <c r="E301" s="556">
        <f ca="1">VLOOKUP(A301,Data!C:I,7,FALSE)</f>
        <v>0</v>
      </c>
      <c r="F301" s="636" t="str">
        <f t="shared" si="56"/>
        <v>DE.DP-22</v>
      </c>
      <c r="G301" s="636" t="str">
        <f t="shared" ca="1" si="57"/>
        <v>DE.DP-220</v>
      </c>
    </row>
    <row r="302" spans="1:7" x14ac:dyDescent="0.25">
      <c r="A302" t="s">
        <v>345</v>
      </c>
      <c r="B302" s="556">
        <v>2</v>
      </c>
      <c r="C302" t="s">
        <v>446</v>
      </c>
      <c r="D302" s="1079" t="s">
        <v>1562</v>
      </c>
      <c r="E302" s="556">
        <f ca="1">VLOOKUP(A302,Data!C:I,7,FALSE)</f>
        <v>0</v>
      </c>
      <c r="F302" s="636" t="str">
        <f t="shared" si="56"/>
        <v>ID.GV-12</v>
      </c>
      <c r="G302" s="636" t="str">
        <f t="shared" ca="1" si="57"/>
        <v>ID.GV-120</v>
      </c>
    </row>
    <row r="303" spans="1:7" x14ac:dyDescent="0.25">
      <c r="A303" t="s">
        <v>347</v>
      </c>
      <c r="B303" s="556">
        <v>2</v>
      </c>
      <c r="C303" t="s">
        <v>446</v>
      </c>
      <c r="D303" s="1079" t="s">
        <v>1562</v>
      </c>
      <c r="E303" s="556">
        <f ca="1">VLOOKUP(A303,Data!C:I,7,FALSE)</f>
        <v>0</v>
      </c>
      <c r="F303" s="636" t="str">
        <f t="shared" si="56"/>
        <v>ID.GV-12</v>
      </c>
      <c r="G303" s="636" t="str">
        <f t="shared" ca="1" si="57"/>
        <v>ID.GV-120</v>
      </c>
    </row>
    <row r="304" spans="1:7" x14ac:dyDescent="0.25">
      <c r="A304" t="s">
        <v>348</v>
      </c>
      <c r="B304" s="556">
        <v>2</v>
      </c>
      <c r="C304" t="s">
        <v>446</v>
      </c>
      <c r="D304" s="1079" t="s">
        <v>1529</v>
      </c>
      <c r="E304" s="556">
        <f ca="1">VLOOKUP(A304,Data!C:I,7,FALSE)</f>
        <v>0</v>
      </c>
      <c r="F304" s="636" t="str">
        <f t="shared" si="56"/>
        <v>ID.AM-62</v>
      </c>
      <c r="G304" s="636" t="str">
        <f t="shared" ca="1" si="57"/>
        <v>ID.AM-620</v>
      </c>
    </row>
    <row r="305" spans="1:7" x14ac:dyDescent="0.25">
      <c r="A305" t="s">
        <v>348</v>
      </c>
      <c r="B305" s="556">
        <v>2</v>
      </c>
      <c r="C305" t="s">
        <v>446</v>
      </c>
      <c r="D305" s="1079" t="s">
        <v>1530</v>
      </c>
      <c r="E305" s="556">
        <f ca="1">VLOOKUP(A305,Data!C:I,7,FALSE)</f>
        <v>0</v>
      </c>
      <c r="F305" s="636" t="str">
        <f t="shared" si="56"/>
        <v>ID.GV-22</v>
      </c>
      <c r="G305" s="636" t="str">
        <f t="shared" ca="1" si="57"/>
        <v>ID.GV-220</v>
      </c>
    </row>
    <row r="306" spans="1:7" x14ac:dyDescent="0.25">
      <c r="A306" t="s">
        <v>348</v>
      </c>
      <c r="B306" s="556">
        <v>2</v>
      </c>
      <c r="C306" t="s">
        <v>1501</v>
      </c>
      <c r="D306" s="1075" t="s">
        <v>1565</v>
      </c>
      <c r="E306" s="556">
        <f ca="1">VLOOKUP(A306,Data!C:I,7,FALSE)</f>
        <v>0</v>
      </c>
      <c r="F306" s="636" t="str">
        <f t="shared" si="56"/>
        <v>PR.AT-42</v>
      </c>
      <c r="G306" s="636" t="str">
        <f t="shared" ca="1" si="57"/>
        <v>PR.AT-420</v>
      </c>
    </row>
    <row r="307" spans="1:7" x14ac:dyDescent="0.25">
      <c r="A307" t="s">
        <v>349</v>
      </c>
      <c r="B307" s="556">
        <v>2</v>
      </c>
      <c r="C307" t="s">
        <v>446</v>
      </c>
      <c r="D307" s="1079" t="s">
        <v>1530</v>
      </c>
      <c r="E307" s="556">
        <f ca="1">VLOOKUP(A307,Data!C:I,7,FALSE)</f>
        <v>0</v>
      </c>
      <c r="F307" s="636" t="str">
        <f t="shared" si="56"/>
        <v>ID.GV-22</v>
      </c>
      <c r="G307" s="636" t="str">
        <f t="shared" ca="1" si="57"/>
        <v>ID.GV-220</v>
      </c>
    </row>
    <row r="308" spans="1:7" x14ac:dyDescent="0.25">
      <c r="A308" t="s">
        <v>349</v>
      </c>
      <c r="B308" s="556">
        <v>2</v>
      </c>
      <c r="C308" t="s">
        <v>1501</v>
      </c>
      <c r="D308" s="1075" t="s">
        <v>1616</v>
      </c>
      <c r="E308" s="556">
        <f ca="1">VLOOKUP(A308,Data!C:I,7,FALSE)</f>
        <v>0</v>
      </c>
      <c r="F308" s="636" t="str">
        <f t="shared" si="56"/>
        <v>PR.AT-32</v>
      </c>
      <c r="G308" s="636" t="str">
        <f t="shared" ca="1" si="57"/>
        <v>PR.AT-320</v>
      </c>
    </row>
    <row r="309" spans="1:7" x14ac:dyDescent="0.25">
      <c r="A309" t="s">
        <v>349</v>
      </c>
      <c r="B309" s="556">
        <v>2</v>
      </c>
      <c r="C309" t="s">
        <v>1501</v>
      </c>
      <c r="D309" s="1075" t="s">
        <v>1565</v>
      </c>
      <c r="E309" s="556">
        <f ca="1">VLOOKUP(A309,Data!C:I,7,FALSE)</f>
        <v>0</v>
      </c>
      <c r="F309" s="636" t="str">
        <f t="shared" si="56"/>
        <v>PR.AT-42</v>
      </c>
      <c r="G309" s="636" t="str">
        <f t="shared" ca="1" si="57"/>
        <v>PR.AT-420</v>
      </c>
    </row>
    <row r="310" spans="1:7" x14ac:dyDescent="0.25">
      <c r="A310" t="s">
        <v>349</v>
      </c>
      <c r="B310" s="556">
        <v>2</v>
      </c>
      <c r="C310" t="s">
        <v>1501</v>
      </c>
      <c r="D310" s="1075" t="s">
        <v>1617</v>
      </c>
      <c r="E310" s="556">
        <f ca="1">VLOOKUP(A310,Data!C:I,7,FALSE)</f>
        <v>0</v>
      </c>
      <c r="F310" s="636" t="str">
        <f t="shared" si="56"/>
        <v>PR.AT-52</v>
      </c>
      <c r="G310" s="636" t="str">
        <f t="shared" ca="1" si="57"/>
        <v>PR.AT-520</v>
      </c>
    </row>
    <row r="311" spans="1:7" x14ac:dyDescent="0.25">
      <c r="A311" t="s">
        <v>350</v>
      </c>
      <c r="B311" s="556">
        <v>3</v>
      </c>
      <c r="C311" t="s">
        <v>1501</v>
      </c>
      <c r="D311" s="1075" t="s">
        <v>1781</v>
      </c>
      <c r="E311" s="556">
        <f ca="1">VLOOKUP(A311,Data!C:I,7,FALSE)</f>
        <v>0</v>
      </c>
      <c r="F311" s="636" t="str">
        <f t="shared" si="56"/>
        <v>PR.IP-73</v>
      </c>
      <c r="G311" s="636" t="str">
        <f t="shared" ca="1" si="57"/>
        <v>PR.IP-730</v>
      </c>
    </row>
    <row r="312" spans="1:7" x14ac:dyDescent="0.25">
      <c r="A312" t="s">
        <v>351</v>
      </c>
      <c r="B312" s="556">
        <v>3</v>
      </c>
      <c r="C312" t="s">
        <v>1501</v>
      </c>
      <c r="D312" s="1075" t="s">
        <v>1781</v>
      </c>
      <c r="E312" s="556">
        <f ca="1">VLOOKUP(A312,Data!C:I,7,FALSE)</f>
        <v>0</v>
      </c>
      <c r="F312" s="636" t="str">
        <f t="shared" si="56"/>
        <v>PR.IP-73</v>
      </c>
      <c r="G312" s="636" t="str">
        <f t="shared" ca="1" si="57"/>
        <v>PR.IP-730</v>
      </c>
    </row>
    <row r="313" spans="1:7" x14ac:dyDescent="0.25">
      <c r="A313" t="s">
        <v>351</v>
      </c>
      <c r="B313" s="556">
        <v>3</v>
      </c>
      <c r="C313" t="s">
        <v>1501</v>
      </c>
      <c r="D313" s="1075" t="s">
        <v>1531</v>
      </c>
      <c r="E313" s="556">
        <f ca="1">VLOOKUP(A313,Data!C:I,7,FALSE)</f>
        <v>0</v>
      </c>
      <c r="F313" s="636" t="str">
        <f t="shared" si="56"/>
        <v>PR.IP-83</v>
      </c>
      <c r="G313" s="636" t="str">
        <f t="shared" ca="1" si="57"/>
        <v>PR.IP-830</v>
      </c>
    </row>
    <row r="314" spans="1:7" x14ac:dyDescent="0.25">
      <c r="A314" t="s">
        <v>352</v>
      </c>
      <c r="B314" s="556">
        <v>3</v>
      </c>
      <c r="C314" t="s">
        <v>446</v>
      </c>
      <c r="D314" s="1079" t="s">
        <v>1562</v>
      </c>
      <c r="E314" s="556">
        <f ca="1">VLOOKUP(A314,Data!C:I,7,FALSE)</f>
        <v>0</v>
      </c>
      <c r="F314" s="636" t="str">
        <f t="shared" si="56"/>
        <v>ID.GV-13</v>
      </c>
      <c r="G314" s="636" t="str">
        <f t="shared" ca="1" si="57"/>
        <v>ID.GV-130</v>
      </c>
    </row>
    <row r="315" spans="1:7" x14ac:dyDescent="0.25">
      <c r="A315" t="s">
        <v>352</v>
      </c>
      <c r="B315" s="556">
        <v>3</v>
      </c>
      <c r="C315" t="s">
        <v>446</v>
      </c>
      <c r="D315" s="1079" t="s">
        <v>1576</v>
      </c>
      <c r="E315" s="556">
        <f ca="1">VLOOKUP(A315,Data!C:I,7,FALSE)</f>
        <v>0</v>
      </c>
      <c r="F315" s="636" t="str">
        <f t="shared" si="56"/>
        <v>ID.GV-33</v>
      </c>
      <c r="G315" s="636" t="str">
        <f t="shared" ca="1" si="57"/>
        <v>ID.GV-330</v>
      </c>
    </row>
    <row r="316" spans="1:7" x14ac:dyDescent="0.25">
      <c r="A316" t="s">
        <v>352</v>
      </c>
      <c r="B316" s="556">
        <v>3</v>
      </c>
      <c r="C316" t="s">
        <v>1501</v>
      </c>
      <c r="D316" s="1075" t="s">
        <v>1558</v>
      </c>
      <c r="E316" s="556">
        <f ca="1">VLOOKUP(A316,Data!C:I,7,FALSE)</f>
        <v>0</v>
      </c>
      <c r="F316" s="636" t="str">
        <f t="shared" si="56"/>
        <v>PR.IP-53</v>
      </c>
      <c r="G316" s="636" t="str">
        <f t="shared" ca="1" si="57"/>
        <v>PR.IP-530</v>
      </c>
    </row>
    <row r="317" spans="1:7" x14ac:dyDescent="0.25">
      <c r="A317" t="s">
        <v>352</v>
      </c>
      <c r="B317" s="556">
        <v>3</v>
      </c>
      <c r="C317" t="s">
        <v>1502</v>
      </c>
      <c r="D317" s="1076" t="s">
        <v>1580</v>
      </c>
      <c r="E317" s="556">
        <f ca="1">VLOOKUP(A317,Data!C:I,7,FALSE)</f>
        <v>0</v>
      </c>
      <c r="F317" s="636" t="str">
        <f t="shared" si="56"/>
        <v>DE.DP-23</v>
      </c>
      <c r="G317" s="636" t="str">
        <f t="shared" ca="1" si="57"/>
        <v>DE.DP-230</v>
      </c>
    </row>
    <row r="318" spans="1:7" x14ac:dyDescent="0.25">
      <c r="A318" t="s">
        <v>357</v>
      </c>
      <c r="B318" s="556">
        <v>3</v>
      </c>
      <c r="C318" t="s">
        <v>446</v>
      </c>
      <c r="D318" s="1079" t="s">
        <v>1562</v>
      </c>
      <c r="E318" s="556">
        <f ca="1">VLOOKUP(A318,Data!C:I,7,FALSE)</f>
        <v>0</v>
      </c>
      <c r="F318" s="636" t="str">
        <f t="shared" si="56"/>
        <v>ID.GV-13</v>
      </c>
      <c r="G318" s="636" t="str">
        <f t="shared" ca="1" si="57"/>
        <v>ID.GV-130</v>
      </c>
    </row>
    <row r="319" spans="1:7" x14ac:dyDescent="0.25">
      <c r="A319" t="s">
        <v>357</v>
      </c>
      <c r="B319" s="556">
        <v>3</v>
      </c>
      <c r="C319" t="s">
        <v>446</v>
      </c>
      <c r="D319" s="1079" t="s">
        <v>1576</v>
      </c>
      <c r="E319" s="556">
        <f ca="1">VLOOKUP(A319,Data!C:I,7,FALSE)</f>
        <v>0</v>
      </c>
      <c r="F319" s="636" t="str">
        <f t="shared" si="56"/>
        <v>ID.GV-33</v>
      </c>
      <c r="G319" s="636" t="str">
        <f t="shared" ca="1" si="57"/>
        <v>ID.GV-330</v>
      </c>
    </row>
    <row r="320" spans="1:7" x14ac:dyDescent="0.25">
      <c r="A320" t="s">
        <v>358</v>
      </c>
      <c r="B320" s="556">
        <v>3</v>
      </c>
      <c r="C320" t="s">
        <v>446</v>
      </c>
      <c r="D320" s="1079" t="s">
        <v>1529</v>
      </c>
      <c r="E320" s="556">
        <f ca="1">VLOOKUP(A320,Data!C:I,7,FALSE)</f>
        <v>0</v>
      </c>
      <c r="F320" s="636" t="str">
        <f t="shared" si="56"/>
        <v>ID.AM-63</v>
      </c>
      <c r="G320" s="636" t="str">
        <f t="shared" ca="1" si="57"/>
        <v>ID.AM-630</v>
      </c>
    </row>
    <row r="321" spans="1:7" x14ac:dyDescent="0.25">
      <c r="A321" t="s">
        <v>358</v>
      </c>
      <c r="B321" s="556">
        <v>3</v>
      </c>
      <c r="C321" t="s">
        <v>446</v>
      </c>
      <c r="D321" s="1079" t="s">
        <v>1562</v>
      </c>
      <c r="E321" s="556">
        <f ca="1">VLOOKUP(A321,Data!C:I,7,FALSE)</f>
        <v>0</v>
      </c>
      <c r="F321" s="636" t="str">
        <f t="shared" si="56"/>
        <v>ID.GV-13</v>
      </c>
      <c r="G321" s="636" t="str">
        <f t="shared" ca="1" si="57"/>
        <v>ID.GV-130</v>
      </c>
    </row>
    <row r="322" spans="1:7" x14ac:dyDescent="0.25">
      <c r="A322" t="s">
        <v>358</v>
      </c>
      <c r="B322" s="556">
        <v>3</v>
      </c>
      <c r="C322" t="s">
        <v>446</v>
      </c>
      <c r="D322" s="1079" t="s">
        <v>1530</v>
      </c>
      <c r="E322" s="556">
        <f ca="1">VLOOKUP(A322,Data!C:I,7,FALSE)</f>
        <v>0</v>
      </c>
      <c r="F322" s="636" t="str">
        <f t="shared" si="56"/>
        <v>ID.GV-23</v>
      </c>
      <c r="G322" s="636" t="str">
        <f t="shared" ca="1" si="57"/>
        <v>ID.GV-230</v>
      </c>
    </row>
    <row r="323" spans="1:7" x14ac:dyDescent="0.25">
      <c r="A323" t="s">
        <v>358</v>
      </c>
      <c r="B323" s="556">
        <v>3</v>
      </c>
      <c r="C323" t="s">
        <v>446</v>
      </c>
      <c r="D323" s="1079" t="s">
        <v>1576</v>
      </c>
      <c r="E323" s="556">
        <f ca="1">VLOOKUP(A323,Data!C:I,7,FALSE)</f>
        <v>0</v>
      </c>
      <c r="F323" s="636" t="str">
        <f t="shared" ref="F323:F386" si="58">CONCATENATE($D323,$B323)</f>
        <v>ID.GV-33</v>
      </c>
      <c r="G323" s="636" t="str">
        <f t="shared" ref="G323:G386" ca="1" si="59">_xlfn.IFNA(CONCATENATE(F323,$E323),CONCATENATE(F323,$E323,0))</f>
        <v>ID.GV-330</v>
      </c>
    </row>
    <row r="324" spans="1:7" x14ac:dyDescent="0.25">
      <c r="A324" t="s">
        <v>358</v>
      </c>
      <c r="B324" s="556">
        <v>3</v>
      </c>
      <c r="C324" t="s">
        <v>1501</v>
      </c>
      <c r="D324" s="1075" t="s">
        <v>1615</v>
      </c>
      <c r="E324" s="556">
        <f ca="1">VLOOKUP(A324,Data!C:I,7,FALSE)</f>
        <v>0</v>
      </c>
      <c r="F324" s="636" t="str">
        <f t="shared" si="58"/>
        <v>PR.AT-23</v>
      </c>
      <c r="G324" s="636" t="str">
        <f t="shared" ca="1" si="59"/>
        <v>PR.AT-230</v>
      </c>
    </row>
    <row r="325" spans="1:7" x14ac:dyDescent="0.25">
      <c r="A325" t="s">
        <v>358</v>
      </c>
      <c r="B325" s="556">
        <v>3</v>
      </c>
      <c r="C325" t="s">
        <v>1501</v>
      </c>
      <c r="D325" s="1075" t="s">
        <v>1616</v>
      </c>
      <c r="E325" s="556">
        <f ca="1">VLOOKUP(A325,Data!C:I,7,FALSE)</f>
        <v>0</v>
      </c>
      <c r="F325" s="636" t="str">
        <f t="shared" si="58"/>
        <v>PR.AT-33</v>
      </c>
      <c r="G325" s="636" t="str">
        <f t="shared" ca="1" si="59"/>
        <v>PR.AT-330</v>
      </c>
    </row>
    <row r="326" spans="1:7" x14ac:dyDescent="0.25">
      <c r="A326" t="s">
        <v>358</v>
      </c>
      <c r="B326" s="556">
        <v>3</v>
      </c>
      <c r="C326" t="s">
        <v>1501</v>
      </c>
      <c r="D326" s="1075" t="s">
        <v>1565</v>
      </c>
      <c r="E326" s="556">
        <f ca="1">VLOOKUP(A326,Data!C:I,7,FALSE)</f>
        <v>0</v>
      </c>
      <c r="F326" s="636" t="str">
        <f t="shared" si="58"/>
        <v>PR.AT-43</v>
      </c>
      <c r="G326" s="636" t="str">
        <f t="shared" ca="1" si="59"/>
        <v>PR.AT-430</v>
      </c>
    </row>
    <row r="327" spans="1:7" x14ac:dyDescent="0.25">
      <c r="A327" t="s">
        <v>358</v>
      </c>
      <c r="B327" s="556">
        <v>3</v>
      </c>
      <c r="C327" t="s">
        <v>1501</v>
      </c>
      <c r="D327" s="1075" t="s">
        <v>1617</v>
      </c>
      <c r="E327" s="556">
        <f ca="1">VLOOKUP(A327,Data!C:I,7,FALSE)</f>
        <v>0</v>
      </c>
      <c r="F327" s="636" t="str">
        <f t="shared" si="58"/>
        <v>PR.AT-53</v>
      </c>
      <c r="G327" s="636" t="str">
        <f t="shared" ca="1" si="59"/>
        <v>PR.AT-530</v>
      </c>
    </row>
    <row r="328" spans="1:7" x14ac:dyDescent="0.25">
      <c r="A328" t="s">
        <v>359</v>
      </c>
      <c r="B328" s="556">
        <v>3</v>
      </c>
      <c r="C328" t="s">
        <v>1501</v>
      </c>
      <c r="D328" s="1075" t="s">
        <v>1619</v>
      </c>
      <c r="E328" s="556">
        <f ca="1">VLOOKUP(A328,Data!C:I,7,FALSE)</f>
        <v>0</v>
      </c>
      <c r="F328" s="636" t="str">
        <f t="shared" si="58"/>
        <v>PR.AT-13</v>
      </c>
      <c r="G328" s="636" t="str">
        <f t="shared" ca="1" si="59"/>
        <v>PR.AT-130</v>
      </c>
    </row>
    <row r="329" spans="1:7" x14ac:dyDescent="0.25">
      <c r="A329" t="s">
        <v>360</v>
      </c>
      <c r="B329" s="556">
        <v>3</v>
      </c>
      <c r="C329" t="s">
        <v>1501</v>
      </c>
      <c r="D329" s="1075" t="s">
        <v>1781</v>
      </c>
      <c r="E329" s="556">
        <f ca="1">VLOOKUP(A329,Data!C:I,7,FALSE)</f>
        <v>0</v>
      </c>
      <c r="F329" s="636" t="str">
        <f t="shared" si="58"/>
        <v>PR.IP-73</v>
      </c>
      <c r="G329" s="636" t="str">
        <f t="shared" ca="1" si="59"/>
        <v>PR.IP-730</v>
      </c>
    </row>
    <row r="330" spans="1:7" x14ac:dyDescent="0.25">
      <c r="A330" t="s">
        <v>240</v>
      </c>
      <c r="B330" s="556">
        <v>1</v>
      </c>
      <c r="C330" t="s">
        <v>1502</v>
      </c>
      <c r="D330" s="1076" t="s">
        <v>1579</v>
      </c>
      <c r="E330" s="556">
        <f ca="1">VLOOKUP(A330,Data!C:I,7,FALSE)</f>
        <v>0</v>
      </c>
      <c r="F330" s="636" t="str">
        <f t="shared" si="58"/>
        <v>DE.DP-41</v>
      </c>
      <c r="G330" s="636" t="str">
        <f t="shared" ca="1" si="59"/>
        <v>DE.DP-410</v>
      </c>
    </row>
    <row r="331" spans="1:7" x14ac:dyDescent="0.25">
      <c r="A331" t="s">
        <v>240</v>
      </c>
      <c r="B331" s="556">
        <v>1</v>
      </c>
      <c r="C331" t="s">
        <v>1503</v>
      </c>
      <c r="D331" s="1080" t="s">
        <v>1574</v>
      </c>
      <c r="E331" s="556">
        <f ca="1">VLOOKUP(A331,Data!C:I,7,FALSE)</f>
        <v>0</v>
      </c>
      <c r="F331" s="636" t="str">
        <f t="shared" si="58"/>
        <v>RS.CO-21</v>
      </c>
      <c r="G331" s="636" t="str">
        <f t="shared" ca="1" si="59"/>
        <v>RS.CO-210</v>
      </c>
    </row>
    <row r="332" spans="1:7" x14ac:dyDescent="0.25">
      <c r="A332" t="s">
        <v>241</v>
      </c>
      <c r="B332" s="556">
        <v>2</v>
      </c>
      <c r="C332" t="s">
        <v>1502</v>
      </c>
      <c r="D332" s="1076" t="s">
        <v>1580</v>
      </c>
      <c r="E332" s="556">
        <f ca="1">VLOOKUP(A332,Data!C:I,7,FALSE)</f>
        <v>0</v>
      </c>
      <c r="F332" s="636" t="str">
        <f t="shared" si="58"/>
        <v>DE.DP-22</v>
      </c>
      <c r="G332" s="636" t="str">
        <f t="shared" ca="1" si="59"/>
        <v>DE.DP-220</v>
      </c>
    </row>
    <row r="333" spans="1:7" x14ac:dyDescent="0.25">
      <c r="A333" t="s">
        <v>242</v>
      </c>
      <c r="B333" s="556">
        <v>2</v>
      </c>
      <c r="C333" t="s">
        <v>1502</v>
      </c>
      <c r="D333" s="1076" t="s">
        <v>1580</v>
      </c>
      <c r="E333" s="556">
        <f ca="1">VLOOKUP(A333,Data!C:I,7,FALSE)</f>
        <v>0</v>
      </c>
      <c r="F333" s="636" t="str">
        <f t="shared" si="58"/>
        <v>DE.DP-22</v>
      </c>
      <c r="G333" s="636" t="str">
        <f t="shared" ca="1" si="59"/>
        <v>DE.DP-220</v>
      </c>
    </row>
    <row r="334" spans="1:7" x14ac:dyDescent="0.25">
      <c r="A334" t="s">
        <v>242</v>
      </c>
      <c r="B334" s="556">
        <v>2</v>
      </c>
      <c r="C334" t="s">
        <v>1503</v>
      </c>
      <c r="D334" s="1080" t="s">
        <v>1574</v>
      </c>
      <c r="E334" s="556">
        <f ca="1">VLOOKUP(A334,Data!C:I,7,FALSE)</f>
        <v>0</v>
      </c>
      <c r="F334" s="636" t="str">
        <f t="shared" si="58"/>
        <v>RS.CO-22</v>
      </c>
      <c r="G334" s="636" t="str">
        <f t="shared" ca="1" si="59"/>
        <v>RS.CO-220</v>
      </c>
    </row>
    <row r="335" spans="1:7" x14ac:dyDescent="0.25">
      <c r="A335" t="s">
        <v>243</v>
      </c>
      <c r="B335" s="556">
        <v>3</v>
      </c>
      <c r="C335" t="s">
        <v>1502</v>
      </c>
      <c r="D335" s="1076" t="s">
        <v>1582</v>
      </c>
      <c r="E335" s="556">
        <f ca="1">VLOOKUP(A335,Data!C:I,7,FALSE)</f>
        <v>0</v>
      </c>
      <c r="F335" s="636" t="str">
        <f t="shared" si="58"/>
        <v>DE.AE-23</v>
      </c>
      <c r="G335" s="636" t="str">
        <f t="shared" ca="1" si="59"/>
        <v>DE.AE-230</v>
      </c>
    </row>
    <row r="336" spans="1:7" x14ac:dyDescent="0.25">
      <c r="A336" t="s">
        <v>243</v>
      </c>
      <c r="B336" s="556">
        <v>3</v>
      </c>
      <c r="C336" t="s">
        <v>1502</v>
      </c>
      <c r="D336" s="1076" t="s">
        <v>1577</v>
      </c>
      <c r="E336" s="556">
        <f ca="1">VLOOKUP(A336,Data!C:I,7,FALSE)</f>
        <v>0</v>
      </c>
      <c r="F336" s="636" t="str">
        <f t="shared" si="58"/>
        <v>DE.AE-33</v>
      </c>
      <c r="G336" s="636" t="str">
        <f t="shared" ca="1" si="59"/>
        <v>DE.AE-330</v>
      </c>
    </row>
    <row r="337" spans="1:7" x14ac:dyDescent="0.25">
      <c r="A337" t="s">
        <v>243</v>
      </c>
      <c r="B337" s="556">
        <v>3</v>
      </c>
      <c r="C337" t="s">
        <v>1503</v>
      </c>
      <c r="D337" s="1080" t="s">
        <v>1581</v>
      </c>
      <c r="E337" s="556">
        <f ca="1">VLOOKUP(A337,Data!C:I,7,FALSE)</f>
        <v>0</v>
      </c>
      <c r="F337" s="636" t="str">
        <f t="shared" si="58"/>
        <v>RS.AN-13</v>
      </c>
      <c r="G337" s="636" t="str">
        <f t="shared" ca="1" si="59"/>
        <v>RS.AN-130</v>
      </c>
    </row>
    <row r="338" spans="1:7" x14ac:dyDescent="0.25">
      <c r="A338" t="s">
        <v>243</v>
      </c>
      <c r="B338" s="556">
        <v>3</v>
      </c>
      <c r="C338" t="s">
        <v>1503</v>
      </c>
      <c r="D338" s="1080" t="s">
        <v>1585</v>
      </c>
      <c r="E338" s="556">
        <f ca="1">VLOOKUP(A338,Data!C:I,7,FALSE)</f>
        <v>0</v>
      </c>
      <c r="F338" s="636" t="str">
        <f t="shared" si="58"/>
        <v>RS.AN-43</v>
      </c>
      <c r="G338" s="636" t="str">
        <f t="shared" ca="1" si="59"/>
        <v>RS.AN-430</v>
      </c>
    </row>
    <row r="339" spans="1:7" x14ac:dyDescent="0.25">
      <c r="A339" t="s">
        <v>244</v>
      </c>
      <c r="B339" s="556">
        <v>3</v>
      </c>
      <c r="C339" t="s">
        <v>1502</v>
      </c>
      <c r="D339" s="1076" t="s">
        <v>1583</v>
      </c>
      <c r="E339" s="556">
        <f ca="1">VLOOKUP(A339,Data!C:I,7,FALSE)</f>
        <v>0</v>
      </c>
      <c r="F339" s="636" t="str">
        <f t="shared" si="58"/>
        <v>DE.DP-53</v>
      </c>
      <c r="G339" s="636" t="str">
        <f t="shared" ca="1" si="59"/>
        <v>DE.DP-530</v>
      </c>
    </row>
    <row r="340" spans="1:7" x14ac:dyDescent="0.25">
      <c r="A340" t="s">
        <v>245</v>
      </c>
      <c r="B340" s="556">
        <v>3</v>
      </c>
      <c r="C340" t="s">
        <v>1502</v>
      </c>
      <c r="D340" s="1082" t="s">
        <v>1537</v>
      </c>
      <c r="E340" s="556">
        <f ca="1">VLOOKUP(A340,Data!C:I,7,FALSE)</f>
        <v>0</v>
      </c>
      <c r="F340" s="636" t="str">
        <f t="shared" si="58"/>
        <v>DE.CM-13</v>
      </c>
      <c r="G340" s="636" t="str">
        <f t="shared" ca="1" si="59"/>
        <v>DE.CM-130</v>
      </c>
    </row>
    <row r="341" spans="1:7" x14ac:dyDescent="0.25">
      <c r="A341" t="s">
        <v>245</v>
      </c>
      <c r="B341" s="556">
        <v>3</v>
      </c>
      <c r="C341" t="s">
        <v>1502</v>
      </c>
      <c r="D341" s="1076" t="s">
        <v>1527</v>
      </c>
      <c r="E341" s="556">
        <f ca="1">VLOOKUP(A341,Data!C:I,7,FALSE)</f>
        <v>0</v>
      </c>
      <c r="F341" s="636" t="str">
        <f t="shared" si="58"/>
        <v>DE.CM-23</v>
      </c>
      <c r="G341" s="636" t="str">
        <f t="shared" ca="1" si="59"/>
        <v>DE.CM-230</v>
      </c>
    </row>
    <row r="342" spans="1:7" x14ac:dyDescent="0.25">
      <c r="A342" t="s">
        <v>245</v>
      </c>
      <c r="B342" s="556">
        <v>3</v>
      </c>
      <c r="C342" t="s">
        <v>1502</v>
      </c>
      <c r="D342" s="1076" t="s">
        <v>1523</v>
      </c>
      <c r="E342" s="556">
        <f ca="1">VLOOKUP(A342,Data!C:I,7,FALSE)</f>
        <v>0</v>
      </c>
      <c r="F342" s="636" t="str">
        <f t="shared" si="58"/>
        <v>DE.CM-33</v>
      </c>
      <c r="G342" s="636" t="str">
        <f t="shared" ca="1" si="59"/>
        <v>DE.CM-330</v>
      </c>
    </row>
    <row r="343" spans="1:7" x14ac:dyDescent="0.25">
      <c r="A343" t="s">
        <v>245</v>
      </c>
      <c r="B343" s="556">
        <v>3</v>
      </c>
      <c r="C343" t="s">
        <v>1502</v>
      </c>
      <c r="D343" s="1076" t="s">
        <v>1524</v>
      </c>
      <c r="E343" s="556">
        <f ca="1">VLOOKUP(A343,Data!C:I,7,FALSE)</f>
        <v>0</v>
      </c>
      <c r="F343" s="636" t="str">
        <f t="shared" si="58"/>
        <v>DE.CM-63</v>
      </c>
      <c r="G343" s="636" t="str">
        <f t="shared" ca="1" si="59"/>
        <v>DE.CM-630</v>
      </c>
    </row>
    <row r="344" spans="1:7" x14ac:dyDescent="0.25">
      <c r="A344" t="s">
        <v>245</v>
      </c>
      <c r="B344" s="556">
        <v>3</v>
      </c>
      <c r="C344" t="s">
        <v>1502</v>
      </c>
      <c r="D344" s="1076" t="s">
        <v>1525</v>
      </c>
      <c r="E344" s="556">
        <f ca="1">VLOOKUP(A344,Data!C:I,7,FALSE)</f>
        <v>0</v>
      </c>
      <c r="F344" s="636" t="str">
        <f t="shared" si="58"/>
        <v>DE.CM-73</v>
      </c>
      <c r="G344" s="636" t="str">
        <f t="shared" ca="1" si="59"/>
        <v>DE.CM-730</v>
      </c>
    </row>
    <row r="345" spans="1:7" x14ac:dyDescent="0.25">
      <c r="A345" t="s">
        <v>246</v>
      </c>
      <c r="B345" s="556">
        <v>1</v>
      </c>
      <c r="C345" t="s">
        <v>1501</v>
      </c>
      <c r="D345" s="1075" t="s">
        <v>1569</v>
      </c>
      <c r="E345" s="556">
        <f ca="1">VLOOKUP(A345,Data!C:I,7,FALSE)</f>
        <v>0</v>
      </c>
      <c r="F345" s="636" t="str">
        <f t="shared" si="58"/>
        <v>PR.IP-91</v>
      </c>
      <c r="G345" s="636" t="str">
        <f t="shared" ca="1" si="59"/>
        <v>PR.IP-910</v>
      </c>
    </row>
    <row r="346" spans="1:7" x14ac:dyDescent="0.25">
      <c r="A346" t="s">
        <v>246</v>
      </c>
      <c r="B346" s="556">
        <v>1</v>
      </c>
      <c r="C346" t="s">
        <v>1502</v>
      </c>
      <c r="D346" s="1076" t="s">
        <v>1584</v>
      </c>
      <c r="E346" s="556">
        <f ca="1">VLOOKUP(A346,Data!C:I,7,FALSE)</f>
        <v>0</v>
      </c>
      <c r="F346" s="636" t="str">
        <f t="shared" si="58"/>
        <v>DE.AE-51</v>
      </c>
      <c r="G346" s="636" t="str">
        <f t="shared" ca="1" si="59"/>
        <v>DE.AE-510</v>
      </c>
    </row>
    <row r="347" spans="1:7" x14ac:dyDescent="0.25">
      <c r="A347" t="s">
        <v>246</v>
      </c>
      <c r="B347" s="556">
        <v>1</v>
      </c>
      <c r="C347" t="s">
        <v>1503</v>
      </c>
      <c r="D347" s="1080" t="s">
        <v>1585</v>
      </c>
      <c r="E347" s="556">
        <f ca="1">VLOOKUP(A347,Data!C:I,7,FALSE)</f>
        <v>0</v>
      </c>
      <c r="F347" s="636" t="str">
        <f t="shared" si="58"/>
        <v>RS.AN-41</v>
      </c>
      <c r="G347" s="636" t="str">
        <f t="shared" ca="1" si="59"/>
        <v>RS.AN-410</v>
      </c>
    </row>
    <row r="348" spans="1:7" x14ac:dyDescent="0.25">
      <c r="A348" t="s">
        <v>247</v>
      </c>
      <c r="B348" s="556">
        <v>1</v>
      </c>
      <c r="C348" t="s">
        <v>1502</v>
      </c>
      <c r="D348" s="1076" t="s">
        <v>1586</v>
      </c>
      <c r="E348" s="556">
        <f ca="1">VLOOKUP(A348,Data!C:I,7,FALSE)</f>
        <v>0</v>
      </c>
      <c r="F348" s="636" t="str">
        <f t="shared" si="58"/>
        <v>DE.AE-41</v>
      </c>
      <c r="G348" s="636" t="str">
        <f t="shared" ca="1" si="59"/>
        <v>DE.AE-410</v>
      </c>
    </row>
    <row r="349" spans="1:7" x14ac:dyDescent="0.25">
      <c r="A349" t="s">
        <v>247</v>
      </c>
      <c r="B349" s="556">
        <v>1</v>
      </c>
      <c r="C349" t="s">
        <v>1503</v>
      </c>
      <c r="D349" s="1080" t="s">
        <v>1581</v>
      </c>
      <c r="E349" s="556">
        <f ca="1">VLOOKUP(A349,Data!C:I,7,FALSE)</f>
        <v>0</v>
      </c>
      <c r="F349" s="636" t="str">
        <f t="shared" si="58"/>
        <v>RS.AN-11</v>
      </c>
      <c r="G349" s="636" t="str">
        <f t="shared" ca="1" si="59"/>
        <v>RS.AN-110</v>
      </c>
    </row>
    <row r="350" spans="1:7" x14ac:dyDescent="0.25">
      <c r="A350" t="s">
        <v>248</v>
      </c>
      <c r="B350" s="556">
        <v>2</v>
      </c>
      <c r="C350" t="s">
        <v>1501</v>
      </c>
      <c r="D350" s="1075" t="s">
        <v>1569</v>
      </c>
      <c r="E350" s="556">
        <f ca="1">VLOOKUP(A350,Data!C:I,7,FALSE)</f>
        <v>0</v>
      </c>
      <c r="F350" s="636" t="str">
        <f t="shared" si="58"/>
        <v>PR.IP-92</v>
      </c>
      <c r="G350" s="636" t="str">
        <f t="shared" ca="1" si="59"/>
        <v>PR.IP-920</v>
      </c>
    </row>
    <row r="351" spans="1:7" x14ac:dyDescent="0.25">
      <c r="A351" t="s">
        <v>248</v>
      </c>
      <c r="B351" s="556">
        <v>2</v>
      </c>
      <c r="C351" t="s">
        <v>1502</v>
      </c>
      <c r="D351" s="1076" t="s">
        <v>1586</v>
      </c>
      <c r="E351" s="556">
        <f ca="1">VLOOKUP(A351,Data!C:I,7,FALSE)</f>
        <v>0</v>
      </c>
      <c r="F351" s="636" t="str">
        <f t="shared" si="58"/>
        <v>DE.AE-42</v>
      </c>
      <c r="G351" s="636" t="str">
        <f t="shared" ca="1" si="59"/>
        <v>DE.AE-420</v>
      </c>
    </row>
    <row r="352" spans="1:7" x14ac:dyDescent="0.25">
      <c r="A352" t="s">
        <v>248</v>
      </c>
      <c r="B352" s="556">
        <v>2</v>
      </c>
      <c r="C352" t="s">
        <v>1502</v>
      </c>
      <c r="D352" s="1076" t="s">
        <v>1584</v>
      </c>
      <c r="E352" s="556">
        <f ca="1">VLOOKUP(A352,Data!C:I,7,FALSE)</f>
        <v>0</v>
      </c>
      <c r="F352" s="636" t="str">
        <f t="shared" si="58"/>
        <v>DE.AE-52</v>
      </c>
      <c r="G352" s="636" t="str">
        <f t="shared" ca="1" si="59"/>
        <v>DE.AE-520</v>
      </c>
    </row>
    <row r="353" spans="1:7" x14ac:dyDescent="0.25">
      <c r="A353" t="s">
        <v>249</v>
      </c>
      <c r="B353" s="556">
        <v>2</v>
      </c>
      <c r="C353" t="s">
        <v>1502</v>
      </c>
      <c r="D353" s="1076" t="s">
        <v>1586</v>
      </c>
      <c r="E353" s="556">
        <f ca="1">VLOOKUP(A353,Data!C:I,7,FALSE)</f>
        <v>0</v>
      </c>
      <c r="F353" s="636" t="str">
        <f t="shared" si="58"/>
        <v>DE.AE-42</v>
      </c>
      <c r="G353" s="636" t="str">
        <f t="shared" ca="1" si="59"/>
        <v>DE.AE-420</v>
      </c>
    </row>
    <row r="354" spans="1:7" x14ac:dyDescent="0.25">
      <c r="A354" t="s">
        <v>250</v>
      </c>
      <c r="B354" s="556">
        <v>2</v>
      </c>
      <c r="C354" t="s">
        <v>1501</v>
      </c>
      <c r="D354" s="1075" t="s">
        <v>1781</v>
      </c>
      <c r="E354" s="556">
        <f ca="1">VLOOKUP(A354,Data!C:I,7,FALSE)</f>
        <v>0</v>
      </c>
      <c r="F354" s="636" t="str">
        <f t="shared" si="58"/>
        <v>PR.IP-72</v>
      </c>
      <c r="G354" s="636" t="str">
        <f t="shared" ca="1" si="59"/>
        <v>PR.IP-720</v>
      </c>
    </row>
    <row r="355" spans="1:7" x14ac:dyDescent="0.25">
      <c r="A355" t="s">
        <v>250</v>
      </c>
      <c r="B355" s="556">
        <v>2</v>
      </c>
      <c r="C355" t="s">
        <v>1501</v>
      </c>
      <c r="D355" s="1075" t="s">
        <v>1569</v>
      </c>
      <c r="E355" s="556">
        <f ca="1">VLOOKUP(A355,Data!C:I,7,FALSE)</f>
        <v>0</v>
      </c>
      <c r="F355" s="636" t="str">
        <f t="shared" si="58"/>
        <v>PR.IP-92</v>
      </c>
      <c r="G355" s="636" t="str">
        <f t="shared" ca="1" si="59"/>
        <v>PR.IP-920</v>
      </c>
    </row>
    <row r="356" spans="1:7" x14ac:dyDescent="0.25">
      <c r="A356" t="s">
        <v>250</v>
      </c>
      <c r="B356" s="556">
        <v>2</v>
      </c>
      <c r="C356" t="s">
        <v>1503</v>
      </c>
      <c r="D356" s="1080" t="s">
        <v>1597</v>
      </c>
      <c r="E356" s="556">
        <f ca="1">VLOOKUP(A356,Data!C:I,7,FALSE)</f>
        <v>0</v>
      </c>
      <c r="F356" s="636" t="str">
        <f t="shared" si="58"/>
        <v>RS.IM-12</v>
      </c>
      <c r="G356" s="636" t="str">
        <f t="shared" ca="1" si="59"/>
        <v>RS.IM-120</v>
      </c>
    </row>
    <row r="357" spans="1:7" x14ac:dyDescent="0.25">
      <c r="A357" t="s">
        <v>251</v>
      </c>
      <c r="B357" s="556">
        <v>2</v>
      </c>
      <c r="C357" t="s">
        <v>1503</v>
      </c>
      <c r="D357" s="1083" t="s">
        <v>1574</v>
      </c>
      <c r="E357" s="556">
        <f ca="1">VLOOKUP(A357,Data!C:I,7,FALSE)</f>
        <v>0</v>
      </c>
      <c r="F357" s="636" t="str">
        <f t="shared" si="58"/>
        <v>RS.CO-22</v>
      </c>
      <c r="G357" s="636" t="str">
        <f t="shared" ca="1" si="59"/>
        <v>RS.CO-220</v>
      </c>
    </row>
    <row r="358" spans="1:7" x14ac:dyDescent="0.25">
      <c r="A358" t="s">
        <v>252</v>
      </c>
      <c r="B358" s="556">
        <v>2</v>
      </c>
      <c r="C358" t="s">
        <v>1502</v>
      </c>
      <c r="D358" s="1076" t="s">
        <v>1584</v>
      </c>
      <c r="E358" s="556">
        <f ca="1">VLOOKUP(A358,Data!C:I,7,FALSE)</f>
        <v>0</v>
      </c>
      <c r="F358" s="636" t="str">
        <f t="shared" si="58"/>
        <v>DE.AE-52</v>
      </c>
      <c r="G358" s="636" t="str">
        <f t="shared" ca="1" si="59"/>
        <v>DE.AE-520</v>
      </c>
    </row>
    <row r="359" spans="1:7" x14ac:dyDescent="0.25">
      <c r="A359" t="s">
        <v>252</v>
      </c>
      <c r="B359" s="556">
        <v>2</v>
      </c>
      <c r="C359" t="s">
        <v>1502</v>
      </c>
      <c r="D359" s="1076" t="s">
        <v>1579</v>
      </c>
      <c r="E359" s="556">
        <f ca="1">VLOOKUP(A359,Data!C:I,7,FALSE)</f>
        <v>0</v>
      </c>
      <c r="F359" s="636" t="str">
        <f t="shared" si="58"/>
        <v>DE.DP-42</v>
      </c>
      <c r="G359" s="636" t="str">
        <f t="shared" ca="1" si="59"/>
        <v>DE.DP-420</v>
      </c>
    </row>
    <row r="360" spans="1:7" x14ac:dyDescent="0.25">
      <c r="A360" t="s">
        <v>252</v>
      </c>
      <c r="B360" s="556">
        <v>2</v>
      </c>
      <c r="C360" t="s">
        <v>1503</v>
      </c>
      <c r="D360" s="1080" t="s">
        <v>1574</v>
      </c>
      <c r="E360" s="556">
        <f ca="1">VLOOKUP(A360,Data!C:I,7,FALSE)</f>
        <v>0</v>
      </c>
      <c r="F360" s="636" t="str">
        <f t="shared" si="58"/>
        <v>RS.CO-22</v>
      </c>
      <c r="G360" s="636" t="str">
        <f t="shared" ca="1" si="59"/>
        <v>RS.CO-220</v>
      </c>
    </row>
    <row r="361" spans="1:7" x14ac:dyDescent="0.25">
      <c r="A361" t="s">
        <v>252</v>
      </c>
      <c r="B361" s="556">
        <v>2</v>
      </c>
      <c r="C361" t="s">
        <v>1503</v>
      </c>
      <c r="D361" s="1080" t="s">
        <v>1575</v>
      </c>
      <c r="E361" s="556">
        <f ca="1">VLOOKUP(A361,Data!C:I,7,FALSE)</f>
        <v>0</v>
      </c>
      <c r="F361" s="636" t="str">
        <f t="shared" si="58"/>
        <v>RS.CO-32</v>
      </c>
      <c r="G361" s="636" t="str">
        <f t="shared" ca="1" si="59"/>
        <v>RS.CO-320</v>
      </c>
    </row>
    <row r="362" spans="1:7" x14ac:dyDescent="0.25">
      <c r="A362" t="s">
        <v>252</v>
      </c>
      <c r="B362" s="556">
        <v>2</v>
      </c>
      <c r="C362" t="s">
        <v>1503</v>
      </c>
      <c r="D362" s="1080" t="s">
        <v>1573</v>
      </c>
      <c r="E362" s="556">
        <f ca="1">VLOOKUP(A362,Data!C:I,7,FALSE)</f>
        <v>0</v>
      </c>
      <c r="F362" s="636" t="str">
        <f t="shared" si="58"/>
        <v>RS.CO-42</v>
      </c>
      <c r="G362" s="636" t="str">
        <f t="shared" ca="1" si="59"/>
        <v>RS.CO-420</v>
      </c>
    </row>
    <row r="363" spans="1:7" x14ac:dyDescent="0.25">
      <c r="A363" t="s">
        <v>252</v>
      </c>
      <c r="B363" s="556">
        <v>2</v>
      </c>
      <c r="C363" t="s">
        <v>1503</v>
      </c>
      <c r="D363" s="1080" t="s">
        <v>1606</v>
      </c>
      <c r="E363" s="556">
        <f ca="1">VLOOKUP(A363,Data!C:I,7,FALSE)</f>
        <v>0</v>
      </c>
      <c r="F363" s="636" t="str">
        <f t="shared" si="58"/>
        <v>RS.CO-52</v>
      </c>
      <c r="G363" s="636" t="str">
        <f t="shared" ca="1" si="59"/>
        <v>RS.CO-520</v>
      </c>
    </row>
    <row r="364" spans="1:7" x14ac:dyDescent="0.25">
      <c r="A364" t="s">
        <v>252</v>
      </c>
      <c r="B364" s="556">
        <v>2</v>
      </c>
      <c r="C364" t="s">
        <v>1504</v>
      </c>
      <c r="D364" s="1084" t="s">
        <v>1589</v>
      </c>
      <c r="E364" s="556">
        <f ca="1">VLOOKUP(A364,Data!C:I,7,FALSE)</f>
        <v>0</v>
      </c>
      <c r="F364" s="636" t="str">
        <f t="shared" si="58"/>
        <v>RC.CO-32</v>
      </c>
      <c r="G364" s="636" t="str">
        <f t="shared" ca="1" si="59"/>
        <v>RC.CO-320</v>
      </c>
    </row>
    <row r="365" spans="1:7" x14ac:dyDescent="0.25">
      <c r="A365" t="s">
        <v>254</v>
      </c>
      <c r="B365" s="556">
        <v>3</v>
      </c>
      <c r="C365" t="s">
        <v>1502</v>
      </c>
      <c r="D365" s="1082" t="s">
        <v>1582</v>
      </c>
      <c r="E365" s="556">
        <f ca="1">VLOOKUP(A365,Data!C:I,7,FALSE)</f>
        <v>0</v>
      </c>
      <c r="F365" s="636" t="str">
        <f t="shared" si="58"/>
        <v>DE.AE-23</v>
      </c>
      <c r="G365" s="636" t="str">
        <f t="shared" ca="1" si="59"/>
        <v>DE.AE-230</v>
      </c>
    </row>
    <row r="366" spans="1:7" x14ac:dyDescent="0.25">
      <c r="A366" t="s">
        <v>254</v>
      </c>
      <c r="B366" s="556">
        <v>3</v>
      </c>
      <c r="C366" t="s">
        <v>1502</v>
      </c>
      <c r="D366" s="1076" t="s">
        <v>1577</v>
      </c>
      <c r="E366" s="556">
        <f ca="1">VLOOKUP(A366,Data!C:I,7,FALSE)</f>
        <v>0</v>
      </c>
      <c r="F366" s="636" t="str">
        <f t="shared" si="58"/>
        <v>DE.AE-33</v>
      </c>
      <c r="G366" s="636" t="str">
        <f t="shared" ca="1" si="59"/>
        <v>DE.AE-330</v>
      </c>
    </row>
    <row r="367" spans="1:7" x14ac:dyDescent="0.25">
      <c r="A367" t="s">
        <v>255</v>
      </c>
      <c r="B367" s="556">
        <v>1</v>
      </c>
      <c r="C367" t="s">
        <v>446</v>
      </c>
      <c r="D367" s="1079" t="s">
        <v>1530</v>
      </c>
      <c r="E367" s="556">
        <f ca="1">VLOOKUP(A367,Data!C:I,7,FALSE)</f>
        <v>0</v>
      </c>
      <c r="F367" s="636" t="str">
        <f t="shared" si="58"/>
        <v>ID.GV-21</v>
      </c>
      <c r="G367" s="636" t="str">
        <f t="shared" ca="1" si="59"/>
        <v>ID.GV-210</v>
      </c>
    </row>
    <row r="368" spans="1:7" x14ac:dyDescent="0.25">
      <c r="A368" t="s">
        <v>255</v>
      </c>
      <c r="B368" s="556">
        <v>1</v>
      </c>
      <c r="C368" t="s">
        <v>1501</v>
      </c>
      <c r="D368" s="1077" t="s">
        <v>1616</v>
      </c>
      <c r="E368" s="556">
        <f ca="1">VLOOKUP(A368,Data!C:I,7,FALSE)</f>
        <v>0</v>
      </c>
      <c r="F368" s="636" t="str">
        <f t="shared" si="58"/>
        <v>PR.AT-31</v>
      </c>
      <c r="G368" s="636" t="str">
        <f t="shared" ca="1" si="59"/>
        <v>PR.AT-310</v>
      </c>
    </row>
    <row r="369" spans="1:7" x14ac:dyDescent="0.25">
      <c r="A369" t="s">
        <v>255</v>
      </c>
      <c r="B369" s="556">
        <v>1</v>
      </c>
      <c r="C369" t="s">
        <v>1502</v>
      </c>
      <c r="D369" s="1076" t="s">
        <v>1578</v>
      </c>
      <c r="E369" s="556">
        <f ca="1">VLOOKUP(A369,Data!C:I,7,FALSE)</f>
        <v>0</v>
      </c>
      <c r="F369" s="636" t="str">
        <f t="shared" si="58"/>
        <v>DE.DP-11</v>
      </c>
      <c r="G369" s="636" t="str">
        <f t="shared" ca="1" si="59"/>
        <v>DE.DP-110</v>
      </c>
    </row>
    <row r="370" spans="1:7" x14ac:dyDescent="0.25">
      <c r="A370" t="s">
        <v>255</v>
      </c>
      <c r="B370" s="556">
        <v>1</v>
      </c>
      <c r="C370" t="s">
        <v>1503</v>
      </c>
      <c r="D370" s="1080" t="s">
        <v>1571</v>
      </c>
      <c r="E370" s="556">
        <f ca="1">VLOOKUP(A370,Data!C:I,7,FALSE)</f>
        <v>0</v>
      </c>
      <c r="F370" s="636" t="str">
        <f t="shared" si="58"/>
        <v>RS.CO-11</v>
      </c>
      <c r="G370" s="636" t="str">
        <f t="shared" ca="1" si="59"/>
        <v>RS.CO-110</v>
      </c>
    </row>
    <row r="371" spans="1:7" x14ac:dyDescent="0.25">
      <c r="A371" t="s">
        <v>256</v>
      </c>
      <c r="B371" s="556">
        <v>1</v>
      </c>
      <c r="C371" t="s">
        <v>1503</v>
      </c>
      <c r="D371" s="1080" t="s">
        <v>1570</v>
      </c>
      <c r="E371" s="556">
        <f ca="1">VLOOKUP(A371,Data!C:I,7,FALSE)</f>
        <v>0</v>
      </c>
      <c r="F371" s="636" t="str">
        <f t="shared" si="58"/>
        <v>RS.RP-11</v>
      </c>
      <c r="G371" s="636" t="str">
        <f t="shared" ca="1" si="59"/>
        <v>RS.RP-110</v>
      </c>
    </row>
    <row r="372" spans="1:7" x14ac:dyDescent="0.25">
      <c r="A372" t="s">
        <v>256</v>
      </c>
      <c r="B372" s="556">
        <v>1</v>
      </c>
      <c r="C372" t="s">
        <v>1503</v>
      </c>
      <c r="D372" s="1080" t="s">
        <v>1591</v>
      </c>
      <c r="E372" s="556">
        <f ca="1">VLOOKUP(A372,Data!C:I,7,FALSE)</f>
        <v>0</v>
      </c>
      <c r="F372" s="636" t="str">
        <f t="shared" si="58"/>
        <v>RS.MI-11</v>
      </c>
      <c r="G372" s="636" t="str">
        <f t="shared" ca="1" si="59"/>
        <v>RS.MI-110</v>
      </c>
    </row>
    <row r="373" spans="1:7" x14ac:dyDescent="0.25">
      <c r="A373" t="s">
        <v>256</v>
      </c>
      <c r="B373" s="556">
        <v>1</v>
      </c>
      <c r="C373" t="s">
        <v>1503</v>
      </c>
      <c r="D373" s="1080" t="s">
        <v>1592</v>
      </c>
      <c r="E373" s="556">
        <f ca="1">VLOOKUP(A373,Data!C:I,7,FALSE)</f>
        <v>0</v>
      </c>
      <c r="F373" s="636" t="str">
        <f t="shared" si="58"/>
        <v>RS.MI-21</v>
      </c>
      <c r="G373" s="636" t="str">
        <f t="shared" ca="1" si="59"/>
        <v>RS.MI-210</v>
      </c>
    </row>
    <row r="374" spans="1:7" x14ac:dyDescent="0.25">
      <c r="A374" t="s">
        <v>256</v>
      </c>
      <c r="B374" s="556">
        <v>1</v>
      </c>
      <c r="C374" t="s">
        <v>1504</v>
      </c>
      <c r="D374" s="1084" t="s">
        <v>1590</v>
      </c>
      <c r="E374" s="556">
        <f ca="1">VLOOKUP(A374,Data!C:I,7,FALSE)</f>
        <v>0</v>
      </c>
      <c r="F374" s="636" t="str">
        <f t="shared" si="58"/>
        <v>RC.RP-11</v>
      </c>
      <c r="G374" s="636" t="str">
        <f t="shared" ca="1" si="59"/>
        <v>RC.RP-110</v>
      </c>
    </row>
    <row r="375" spans="1:7" x14ac:dyDescent="0.25">
      <c r="A375" t="s">
        <v>257</v>
      </c>
      <c r="B375" s="556">
        <v>1</v>
      </c>
      <c r="C375" t="s">
        <v>446</v>
      </c>
      <c r="D375" s="1079" t="s">
        <v>1576</v>
      </c>
      <c r="E375" s="556">
        <f ca="1">VLOOKUP(A375,Data!C:I,7,FALSE)</f>
        <v>0</v>
      </c>
      <c r="F375" s="636" t="str">
        <f t="shared" si="58"/>
        <v>ID.GV-31</v>
      </c>
      <c r="G375" s="636" t="str">
        <f t="shared" ca="1" si="59"/>
        <v>ID.GV-310</v>
      </c>
    </row>
    <row r="376" spans="1:7" x14ac:dyDescent="0.25">
      <c r="A376" t="s">
        <v>257</v>
      </c>
      <c r="B376" s="556">
        <v>1</v>
      </c>
      <c r="C376" t="s">
        <v>1503</v>
      </c>
      <c r="D376" s="1080" t="s">
        <v>1574</v>
      </c>
      <c r="E376" s="556">
        <f ca="1">VLOOKUP(A376,Data!C:I,7,FALSE)</f>
        <v>0</v>
      </c>
      <c r="F376" s="636" t="str">
        <f t="shared" si="58"/>
        <v>RS.CO-21</v>
      </c>
      <c r="G376" s="636" t="str">
        <f t="shared" ca="1" si="59"/>
        <v>RS.CO-210</v>
      </c>
    </row>
    <row r="377" spans="1:7" x14ac:dyDescent="0.25">
      <c r="A377" t="s">
        <v>257</v>
      </c>
      <c r="B377" s="556">
        <v>1</v>
      </c>
      <c r="C377" t="s">
        <v>1503</v>
      </c>
      <c r="D377" s="1080" t="s">
        <v>1575</v>
      </c>
      <c r="E377" s="556">
        <f ca="1">VLOOKUP(A377,Data!C:I,7,FALSE)</f>
        <v>0</v>
      </c>
      <c r="F377" s="636" t="str">
        <f t="shared" si="58"/>
        <v>RS.CO-31</v>
      </c>
      <c r="G377" s="636" t="str">
        <f t="shared" ca="1" si="59"/>
        <v>RS.CO-310</v>
      </c>
    </row>
    <row r="378" spans="1:7" x14ac:dyDescent="0.25">
      <c r="A378" t="s">
        <v>257</v>
      </c>
      <c r="B378" s="556">
        <v>1</v>
      </c>
      <c r="C378" t="s">
        <v>1503</v>
      </c>
      <c r="D378" s="1080" t="s">
        <v>1573</v>
      </c>
      <c r="E378" s="556">
        <f ca="1">VLOOKUP(A378,Data!C:I,7,FALSE)</f>
        <v>0</v>
      </c>
      <c r="F378" s="636" t="str">
        <f t="shared" si="58"/>
        <v>RS.CO-41</v>
      </c>
      <c r="G378" s="636" t="str">
        <f t="shared" ca="1" si="59"/>
        <v>RS.CO-410</v>
      </c>
    </row>
    <row r="379" spans="1:7" x14ac:dyDescent="0.25">
      <c r="A379" t="s">
        <v>257</v>
      </c>
      <c r="B379" s="556">
        <v>1</v>
      </c>
      <c r="C379" t="s">
        <v>1503</v>
      </c>
      <c r="D379" s="1080" t="s">
        <v>1606</v>
      </c>
      <c r="E379" s="556">
        <f ca="1">VLOOKUP(A379,Data!C:I,7,FALSE)</f>
        <v>0</v>
      </c>
      <c r="F379" s="636" t="str">
        <f t="shared" si="58"/>
        <v>RS.CO-51</v>
      </c>
      <c r="G379" s="636" t="str">
        <f t="shared" ca="1" si="59"/>
        <v>RS.CO-510</v>
      </c>
    </row>
    <row r="380" spans="1:7" x14ac:dyDescent="0.25">
      <c r="A380" t="s">
        <v>258</v>
      </c>
      <c r="B380" s="556">
        <v>2</v>
      </c>
      <c r="C380" t="s">
        <v>1501</v>
      </c>
      <c r="D380" s="1075" t="s">
        <v>1569</v>
      </c>
      <c r="E380" s="556">
        <f ca="1">VLOOKUP(A380,Data!C:I,7,FALSE)</f>
        <v>0</v>
      </c>
      <c r="F380" s="636" t="str">
        <f t="shared" si="58"/>
        <v>PR.IP-92</v>
      </c>
      <c r="G380" s="636" t="str">
        <f t="shared" ca="1" si="59"/>
        <v>PR.IP-920</v>
      </c>
    </row>
    <row r="381" spans="1:7" x14ac:dyDescent="0.25">
      <c r="A381" t="s">
        <v>258</v>
      </c>
      <c r="B381" s="556">
        <v>2</v>
      </c>
      <c r="C381" t="s">
        <v>1501</v>
      </c>
      <c r="D381" s="1075" t="s">
        <v>1594</v>
      </c>
      <c r="E381" s="556">
        <f ca="1">VLOOKUP(A381,Data!C:I,7,FALSE)</f>
        <v>0</v>
      </c>
      <c r="F381" s="636" t="str">
        <f t="shared" si="58"/>
        <v>PR.IP-102</v>
      </c>
      <c r="G381" s="636" t="str">
        <f t="shared" ca="1" si="59"/>
        <v>PR.IP-1020</v>
      </c>
    </row>
    <row r="382" spans="1:7" x14ac:dyDescent="0.25">
      <c r="A382" t="s">
        <v>258</v>
      </c>
      <c r="B382" s="556">
        <v>2</v>
      </c>
      <c r="C382" t="s">
        <v>1503</v>
      </c>
      <c r="D382" s="1080" t="s">
        <v>1599</v>
      </c>
      <c r="E382" s="556">
        <f ca="1">VLOOKUP(A382,Data!C:I,7,FALSE)</f>
        <v>0</v>
      </c>
      <c r="F382" s="636" t="str">
        <f t="shared" si="58"/>
        <v>RS.AN-32</v>
      </c>
      <c r="G382" s="636" t="str">
        <f t="shared" ca="1" si="59"/>
        <v>RS.AN-320</v>
      </c>
    </row>
    <row r="383" spans="1:7" x14ac:dyDescent="0.25">
      <c r="A383" t="s">
        <v>258</v>
      </c>
      <c r="B383" s="556">
        <v>2</v>
      </c>
      <c r="C383" t="s">
        <v>1503</v>
      </c>
      <c r="D383" s="1078" t="s">
        <v>1598</v>
      </c>
      <c r="E383" s="556">
        <f ca="1">VLOOKUP(A383,Data!C:I,7,FALSE)</f>
        <v>0</v>
      </c>
      <c r="F383" s="636" t="str">
        <f t="shared" si="58"/>
        <v>RS.IM-22</v>
      </c>
      <c r="G383" s="636" t="str">
        <f t="shared" ca="1" si="59"/>
        <v>RS.IM-220</v>
      </c>
    </row>
    <row r="384" spans="1:7" x14ac:dyDescent="0.25">
      <c r="A384" t="s">
        <v>258</v>
      </c>
      <c r="B384" s="556">
        <v>2</v>
      </c>
      <c r="C384" t="s">
        <v>1504</v>
      </c>
      <c r="D384" s="1084" t="s">
        <v>1595</v>
      </c>
      <c r="E384" s="556">
        <f ca="1">VLOOKUP(A384,Data!C:I,7,FALSE)</f>
        <v>0</v>
      </c>
      <c r="F384" s="636" t="str">
        <f t="shared" si="58"/>
        <v>RC.IM-12</v>
      </c>
      <c r="G384" s="636" t="str">
        <f t="shared" ca="1" si="59"/>
        <v>RC.IM-120</v>
      </c>
    </row>
    <row r="385" spans="1:7" x14ac:dyDescent="0.25">
      <c r="A385" t="s">
        <v>259</v>
      </c>
      <c r="B385" s="556">
        <v>2</v>
      </c>
      <c r="C385" t="s">
        <v>1503</v>
      </c>
      <c r="D385" s="1080" t="s">
        <v>1570</v>
      </c>
      <c r="E385" s="556">
        <f ca="1">VLOOKUP(A385,Data!C:I,7,FALSE)</f>
        <v>0</v>
      </c>
      <c r="F385" s="636" t="str">
        <f t="shared" si="58"/>
        <v>RS.RP-12</v>
      </c>
      <c r="G385" s="636" t="str">
        <f t="shared" ca="1" si="59"/>
        <v>RS.RP-120</v>
      </c>
    </row>
    <row r="386" spans="1:7" x14ac:dyDescent="0.25">
      <c r="A386" t="s">
        <v>259</v>
      </c>
      <c r="B386" s="556">
        <v>2</v>
      </c>
      <c r="C386" t="s">
        <v>1503</v>
      </c>
      <c r="D386" s="1080" t="s">
        <v>1571</v>
      </c>
      <c r="E386" s="556">
        <f ca="1">VLOOKUP(A386,Data!C:I,7,FALSE)</f>
        <v>0</v>
      </c>
      <c r="F386" s="636" t="str">
        <f t="shared" si="58"/>
        <v>RS.CO-12</v>
      </c>
      <c r="G386" s="636" t="str">
        <f t="shared" ca="1" si="59"/>
        <v>RS.CO-120</v>
      </c>
    </row>
    <row r="387" spans="1:7" x14ac:dyDescent="0.25">
      <c r="A387" t="s">
        <v>259</v>
      </c>
      <c r="B387" s="556">
        <v>2</v>
      </c>
      <c r="C387" t="s">
        <v>1503</v>
      </c>
      <c r="D387" s="1080" t="s">
        <v>1574</v>
      </c>
      <c r="E387" s="556">
        <f ca="1">VLOOKUP(A387,Data!C:I,7,FALSE)</f>
        <v>0</v>
      </c>
      <c r="F387" s="636" t="str">
        <f t="shared" ref="F387:F450" si="60">CONCATENATE($D387,$B387)</f>
        <v>RS.CO-22</v>
      </c>
      <c r="G387" s="636" t="str">
        <f t="shared" ref="G387:G450" ca="1" si="61">_xlfn.IFNA(CONCATENATE(F387,$E387),CONCATENATE(F387,$E387,0))</f>
        <v>RS.CO-220</v>
      </c>
    </row>
    <row r="388" spans="1:7" x14ac:dyDescent="0.25">
      <c r="A388" t="s">
        <v>259</v>
      </c>
      <c r="B388" s="556">
        <v>2</v>
      </c>
      <c r="C388" t="s">
        <v>1503</v>
      </c>
      <c r="D388" s="1080" t="s">
        <v>1575</v>
      </c>
      <c r="E388" s="556">
        <f ca="1">VLOOKUP(A388,Data!C:I,7,FALSE)</f>
        <v>0</v>
      </c>
      <c r="F388" s="636" t="str">
        <f t="shared" si="60"/>
        <v>RS.CO-32</v>
      </c>
      <c r="G388" s="636" t="str">
        <f t="shared" ca="1" si="61"/>
        <v>RS.CO-320</v>
      </c>
    </row>
    <row r="389" spans="1:7" x14ac:dyDescent="0.25">
      <c r="A389" t="s">
        <v>259</v>
      </c>
      <c r="B389" s="556">
        <v>2</v>
      </c>
      <c r="C389" t="s">
        <v>1503</v>
      </c>
      <c r="D389" s="1080" t="s">
        <v>1573</v>
      </c>
      <c r="E389" s="556">
        <f ca="1">VLOOKUP(A389,Data!C:I,7,FALSE)</f>
        <v>0</v>
      </c>
      <c r="F389" s="636" t="str">
        <f t="shared" si="60"/>
        <v>RS.CO-42</v>
      </c>
      <c r="G389" s="636" t="str">
        <f t="shared" ca="1" si="61"/>
        <v>RS.CO-420</v>
      </c>
    </row>
    <row r="390" spans="1:7" x14ac:dyDescent="0.25">
      <c r="A390" t="s">
        <v>259</v>
      </c>
      <c r="B390" s="556">
        <v>2</v>
      </c>
      <c r="C390" t="s">
        <v>1503</v>
      </c>
      <c r="D390" s="1080" t="s">
        <v>1585</v>
      </c>
      <c r="E390" s="556">
        <f ca="1">VLOOKUP(A390,Data!C:I,7,FALSE)</f>
        <v>0</v>
      </c>
      <c r="F390" s="636" t="str">
        <f t="shared" si="60"/>
        <v>RS.AN-42</v>
      </c>
      <c r="G390" s="636" t="str">
        <f t="shared" ca="1" si="61"/>
        <v>RS.AN-420</v>
      </c>
    </row>
    <row r="391" spans="1:7" x14ac:dyDescent="0.25">
      <c r="A391" t="s">
        <v>259</v>
      </c>
      <c r="B391" s="556">
        <v>2</v>
      </c>
      <c r="C391" t="s">
        <v>1503</v>
      </c>
      <c r="D391" s="1080" t="s">
        <v>1591</v>
      </c>
      <c r="E391" s="556">
        <f ca="1">VLOOKUP(A391,Data!C:I,7,FALSE)</f>
        <v>0</v>
      </c>
      <c r="F391" s="636" t="str">
        <f t="shared" si="60"/>
        <v>RS.MI-12</v>
      </c>
      <c r="G391" s="636" t="str">
        <f t="shared" ca="1" si="61"/>
        <v>RS.MI-120</v>
      </c>
    </row>
    <row r="392" spans="1:7" x14ac:dyDescent="0.25">
      <c r="A392" t="s">
        <v>259</v>
      </c>
      <c r="B392" s="556">
        <v>2</v>
      </c>
      <c r="C392" t="s">
        <v>1503</v>
      </c>
      <c r="D392" s="1080" t="s">
        <v>1592</v>
      </c>
      <c r="E392" s="556">
        <f ca="1">VLOOKUP(A392,Data!C:I,7,FALSE)</f>
        <v>0</v>
      </c>
      <c r="F392" s="636" t="str">
        <f t="shared" si="60"/>
        <v>RS.MI-22</v>
      </c>
      <c r="G392" s="636" t="str">
        <f t="shared" ca="1" si="61"/>
        <v>RS.MI-220</v>
      </c>
    </row>
    <row r="393" spans="1:7" x14ac:dyDescent="0.25">
      <c r="A393" t="s">
        <v>259</v>
      </c>
      <c r="B393" s="556">
        <v>2</v>
      </c>
      <c r="C393" t="s">
        <v>1504</v>
      </c>
      <c r="D393" s="1084" t="s">
        <v>1590</v>
      </c>
      <c r="E393" s="556">
        <f ca="1">VLOOKUP(A393,Data!C:I,7,FALSE)</f>
        <v>0</v>
      </c>
      <c r="F393" s="636" t="str">
        <f t="shared" si="60"/>
        <v>RC.RP-12</v>
      </c>
      <c r="G393" s="636" t="str">
        <f t="shared" ca="1" si="61"/>
        <v>RC.RP-120</v>
      </c>
    </row>
    <row r="394" spans="1:7" x14ac:dyDescent="0.25">
      <c r="A394" t="s">
        <v>260</v>
      </c>
      <c r="B394" s="556">
        <v>2</v>
      </c>
      <c r="C394" t="s">
        <v>1504</v>
      </c>
      <c r="D394" s="1084" t="s">
        <v>1869</v>
      </c>
      <c r="E394" s="556">
        <f ca="1">VLOOKUP(A394,Data!C:I,7,FALSE)</f>
        <v>0</v>
      </c>
      <c r="F394" s="636" t="str">
        <f t="shared" si="60"/>
        <v>RC.CO-12</v>
      </c>
      <c r="G394" s="636" t="str">
        <f t="shared" ca="1" si="61"/>
        <v>RC.CO-120</v>
      </c>
    </row>
    <row r="395" spans="1:7" x14ac:dyDescent="0.25">
      <c r="A395" t="s">
        <v>260</v>
      </c>
      <c r="B395" s="556">
        <v>2</v>
      </c>
      <c r="C395" t="s">
        <v>1504</v>
      </c>
      <c r="D395" s="1084" t="s">
        <v>1593</v>
      </c>
      <c r="E395" s="556">
        <f ca="1">VLOOKUP(A395,Data!C:I,7,FALSE)</f>
        <v>0</v>
      </c>
      <c r="F395" s="636" t="str">
        <f t="shared" si="60"/>
        <v>RC.CO-22</v>
      </c>
      <c r="G395" s="636" t="str">
        <f t="shared" ca="1" si="61"/>
        <v>RC.CO-220</v>
      </c>
    </row>
    <row r="396" spans="1:7" x14ac:dyDescent="0.25">
      <c r="A396" t="s">
        <v>260</v>
      </c>
      <c r="B396" s="556">
        <v>2</v>
      </c>
      <c r="C396" t="s">
        <v>1504</v>
      </c>
      <c r="D396" s="1084" t="s">
        <v>1589</v>
      </c>
      <c r="E396" s="556">
        <f ca="1">VLOOKUP(A396,Data!C:I,7,FALSE)</f>
        <v>0</v>
      </c>
      <c r="F396" s="636" t="str">
        <f t="shared" si="60"/>
        <v>RC.CO-32</v>
      </c>
      <c r="G396" s="636" t="str">
        <f t="shared" ca="1" si="61"/>
        <v>RC.CO-320</v>
      </c>
    </row>
    <row r="397" spans="1:7" x14ac:dyDescent="0.25">
      <c r="A397" t="s">
        <v>261</v>
      </c>
      <c r="B397" s="556">
        <v>2</v>
      </c>
      <c r="C397" t="s">
        <v>446</v>
      </c>
      <c r="D397" s="1079" t="s">
        <v>1572</v>
      </c>
      <c r="E397" s="556">
        <f ca="1">VLOOKUP(A397,Data!C:I,7,FALSE)</f>
        <v>0</v>
      </c>
      <c r="F397" s="636" t="str">
        <f t="shared" si="60"/>
        <v>ID.SC-52</v>
      </c>
      <c r="G397" s="636" t="str">
        <f t="shared" ca="1" si="61"/>
        <v>ID.SC-520</v>
      </c>
    </row>
    <row r="398" spans="1:7" x14ac:dyDescent="0.25">
      <c r="A398" t="s">
        <v>261</v>
      </c>
      <c r="B398" s="556">
        <v>2</v>
      </c>
      <c r="C398" t="s">
        <v>1501</v>
      </c>
      <c r="D398" s="1075" t="s">
        <v>1781</v>
      </c>
      <c r="E398" s="556">
        <f ca="1">VLOOKUP(A398,Data!C:I,7,FALSE)</f>
        <v>0</v>
      </c>
      <c r="F398" s="636" t="str">
        <f t="shared" si="60"/>
        <v>PR.IP-72</v>
      </c>
      <c r="G398" s="636" t="str">
        <f t="shared" ca="1" si="61"/>
        <v>PR.IP-720</v>
      </c>
    </row>
    <row r="399" spans="1:7" x14ac:dyDescent="0.25">
      <c r="A399" t="s">
        <v>261</v>
      </c>
      <c r="B399" s="556">
        <v>2</v>
      </c>
      <c r="C399" t="s">
        <v>1501</v>
      </c>
      <c r="D399" s="1075" t="s">
        <v>1594</v>
      </c>
      <c r="E399" s="556">
        <f ca="1">VLOOKUP(A399,Data!C:I,7,FALSE)</f>
        <v>0</v>
      </c>
      <c r="F399" s="636" t="str">
        <f t="shared" si="60"/>
        <v>PR.IP-102</v>
      </c>
      <c r="G399" s="636" t="str">
        <f t="shared" ca="1" si="61"/>
        <v>PR.IP-1020</v>
      </c>
    </row>
    <row r="400" spans="1:7" x14ac:dyDescent="0.25">
      <c r="A400" t="s">
        <v>261</v>
      </c>
      <c r="B400" s="556">
        <v>2</v>
      </c>
      <c r="C400" t="s">
        <v>1502</v>
      </c>
      <c r="D400" s="1076" t="s">
        <v>1588</v>
      </c>
      <c r="E400" s="556">
        <f ca="1">VLOOKUP(A400,Data!C:I,7,FALSE)</f>
        <v>0</v>
      </c>
      <c r="F400" s="636" t="str">
        <f t="shared" si="60"/>
        <v>DE.DP-32</v>
      </c>
      <c r="G400" s="636" t="str">
        <f t="shared" ca="1" si="61"/>
        <v>DE.DP-320</v>
      </c>
    </row>
    <row r="401" spans="1:7" x14ac:dyDescent="0.25">
      <c r="A401" t="s">
        <v>262</v>
      </c>
      <c r="B401" s="556">
        <v>2</v>
      </c>
      <c r="C401" t="s">
        <v>1501</v>
      </c>
      <c r="D401" s="1075" t="s">
        <v>1781</v>
      </c>
      <c r="E401" s="556">
        <f ca="1">VLOOKUP(A401,Data!C:I,7,FALSE)</f>
        <v>0</v>
      </c>
      <c r="F401" s="636" t="str">
        <f t="shared" si="60"/>
        <v>PR.IP-72</v>
      </c>
      <c r="G401" s="636" t="str">
        <f t="shared" ca="1" si="61"/>
        <v>PR.IP-720</v>
      </c>
    </row>
    <row r="402" spans="1:7" x14ac:dyDescent="0.25">
      <c r="A402" t="s">
        <v>262</v>
      </c>
      <c r="B402" s="556">
        <v>2</v>
      </c>
      <c r="C402" t="s">
        <v>1501</v>
      </c>
      <c r="D402" s="1075" t="s">
        <v>1569</v>
      </c>
      <c r="E402" s="556">
        <f ca="1">VLOOKUP(A402,Data!C:I,7,FALSE)</f>
        <v>0</v>
      </c>
      <c r="F402" s="636" t="str">
        <f t="shared" si="60"/>
        <v>PR.IP-92</v>
      </c>
      <c r="G402" s="636" t="str">
        <f t="shared" ca="1" si="61"/>
        <v>PR.IP-920</v>
      </c>
    </row>
    <row r="403" spans="1:7" x14ac:dyDescent="0.25">
      <c r="A403" t="s">
        <v>262</v>
      </c>
      <c r="B403" s="556">
        <v>2</v>
      </c>
      <c r="C403" t="s">
        <v>1502</v>
      </c>
      <c r="D403" s="1082" t="s">
        <v>1583</v>
      </c>
      <c r="E403" s="556">
        <f ca="1">VLOOKUP(A403,Data!C:I,7,FALSE)</f>
        <v>0</v>
      </c>
      <c r="F403" s="636" t="str">
        <f t="shared" si="60"/>
        <v>DE.DP-52</v>
      </c>
      <c r="G403" s="636" t="str">
        <f t="shared" ca="1" si="61"/>
        <v>DE.DP-520</v>
      </c>
    </row>
    <row r="404" spans="1:7" x14ac:dyDescent="0.25">
      <c r="A404" t="s">
        <v>262</v>
      </c>
      <c r="B404" s="556">
        <v>2</v>
      </c>
      <c r="C404" t="s">
        <v>1503</v>
      </c>
      <c r="D404" s="1080" t="s">
        <v>1597</v>
      </c>
      <c r="E404" s="556">
        <f ca="1">VLOOKUP(A404,Data!C:I,7,FALSE)</f>
        <v>0</v>
      </c>
      <c r="F404" s="636" t="str">
        <f t="shared" si="60"/>
        <v>RS.IM-12</v>
      </c>
      <c r="G404" s="636" t="str">
        <f t="shared" ca="1" si="61"/>
        <v>RS.IM-120</v>
      </c>
    </row>
    <row r="405" spans="1:7" x14ac:dyDescent="0.25">
      <c r="A405" t="s">
        <v>262</v>
      </c>
      <c r="B405" s="556">
        <v>2</v>
      </c>
      <c r="C405" t="s">
        <v>1503</v>
      </c>
      <c r="D405" s="1080" t="s">
        <v>1598</v>
      </c>
      <c r="E405" s="556">
        <f ca="1">VLOOKUP(A405,Data!C:I,7,FALSE)</f>
        <v>0</v>
      </c>
      <c r="F405" s="636" t="str">
        <f t="shared" si="60"/>
        <v>RS.IM-22</v>
      </c>
      <c r="G405" s="636" t="str">
        <f t="shared" ca="1" si="61"/>
        <v>RS.IM-220</v>
      </c>
    </row>
    <row r="406" spans="1:7" x14ac:dyDescent="0.25">
      <c r="A406" t="s">
        <v>262</v>
      </c>
      <c r="B406" s="556">
        <v>2</v>
      </c>
      <c r="C406" t="s">
        <v>1504</v>
      </c>
      <c r="D406" s="1084" t="s">
        <v>1595</v>
      </c>
      <c r="E406" s="556">
        <f ca="1">VLOOKUP(A406,Data!C:I,7,FALSE)</f>
        <v>0</v>
      </c>
      <c r="F406" s="636" t="str">
        <f t="shared" si="60"/>
        <v>RC.IM-12</v>
      </c>
      <c r="G406" s="636" t="str">
        <f t="shared" ca="1" si="61"/>
        <v>RC.IM-120</v>
      </c>
    </row>
    <row r="407" spans="1:7" x14ac:dyDescent="0.25">
      <c r="A407" t="s">
        <v>262</v>
      </c>
      <c r="B407" s="556">
        <v>2</v>
      </c>
      <c r="C407" t="s">
        <v>1504</v>
      </c>
      <c r="D407" s="1084" t="s">
        <v>1596</v>
      </c>
      <c r="E407" s="556">
        <f ca="1">VLOOKUP(A407,Data!C:I,7,FALSE)</f>
        <v>0</v>
      </c>
      <c r="F407" s="636" t="str">
        <f t="shared" si="60"/>
        <v>RC.IM-22</v>
      </c>
      <c r="G407" s="636" t="str">
        <f t="shared" ca="1" si="61"/>
        <v>RC.IM-220</v>
      </c>
    </row>
    <row r="408" spans="1:7" x14ac:dyDescent="0.25">
      <c r="A408" t="s">
        <v>263</v>
      </c>
      <c r="B408" s="556">
        <v>3</v>
      </c>
      <c r="C408" t="s">
        <v>1501</v>
      </c>
      <c r="D408" s="1075" t="s">
        <v>1781</v>
      </c>
      <c r="E408" s="556">
        <f ca="1">VLOOKUP(A408,Data!C:I,7,FALSE)</f>
        <v>0</v>
      </c>
      <c r="F408" s="636" t="str">
        <f t="shared" si="60"/>
        <v>PR.IP-73</v>
      </c>
      <c r="G408" s="636" t="str">
        <f t="shared" ca="1" si="61"/>
        <v>PR.IP-730</v>
      </c>
    </row>
    <row r="409" spans="1:7" x14ac:dyDescent="0.25">
      <c r="A409" t="s">
        <v>263</v>
      </c>
      <c r="B409" s="556">
        <v>3</v>
      </c>
      <c r="C409" t="s">
        <v>1501</v>
      </c>
      <c r="D409" s="1075" t="s">
        <v>1569</v>
      </c>
      <c r="E409" s="556">
        <f ca="1">VLOOKUP(A409,Data!C:I,7,FALSE)</f>
        <v>0</v>
      </c>
      <c r="F409" s="636" t="str">
        <f t="shared" si="60"/>
        <v>PR.IP-93</v>
      </c>
      <c r="G409" s="636" t="str">
        <f t="shared" ca="1" si="61"/>
        <v>PR.IP-930</v>
      </c>
    </row>
    <row r="410" spans="1:7" x14ac:dyDescent="0.25">
      <c r="A410" t="s">
        <v>263</v>
      </c>
      <c r="B410" s="556">
        <v>3</v>
      </c>
      <c r="C410" t="s">
        <v>1502</v>
      </c>
      <c r="D410" s="1082" t="s">
        <v>1582</v>
      </c>
      <c r="E410" s="556">
        <f ca="1">VLOOKUP(A410,Data!C:I,7,FALSE)</f>
        <v>0</v>
      </c>
      <c r="F410" s="636" t="str">
        <f t="shared" si="60"/>
        <v>DE.AE-23</v>
      </c>
      <c r="G410" s="636" t="str">
        <f t="shared" ca="1" si="61"/>
        <v>DE.AE-230</v>
      </c>
    </row>
    <row r="411" spans="1:7" x14ac:dyDescent="0.25">
      <c r="A411" t="s">
        <v>263</v>
      </c>
      <c r="B411" s="556">
        <v>3</v>
      </c>
      <c r="C411" t="s">
        <v>1502</v>
      </c>
      <c r="D411" s="1082" t="s">
        <v>1583</v>
      </c>
      <c r="E411" s="556">
        <f ca="1">VLOOKUP(A411,Data!C:I,7,FALSE)</f>
        <v>0</v>
      </c>
      <c r="F411" s="636" t="str">
        <f t="shared" si="60"/>
        <v>DE.DP-53</v>
      </c>
      <c r="G411" s="636" t="str">
        <f t="shared" ca="1" si="61"/>
        <v>DE.DP-530</v>
      </c>
    </row>
    <row r="412" spans="1:7" x14ac:dyDescent="0.25">
      <c r="A412" t="s">
        <v>263</v>
      </c>
      <c r="B412" s="556">
        <v>3</v>
      </c>
      <c r="C412" t="s">
        <v>1503</v>
      </c>
      <c r="D412" s="1080" t="s">
        <v>1570</v>
      </c>
      <c r="E412" s="556">
        <f ca="1">VLOOKUP(A412,Data!C:I,7,FALSE)</f>
        <v>0</v>
      </c>
      <c r="F412" s="636" t="str">
        <f t="shared" si="60"/>
        <v>RS.RP-13</v>
      </c>
      <c r="G412" s="636" t="str">
        <f t="shared" ca="1" si="61"/>
        <v>RS.RP-130</v>
      </c>
    </row>
    <row r="413" spans="1:7" x14ac:dyDescent="0.25">
      <c r="A413" t="s">
        <v>263</v>
      </c>
      <c r="B413" s="556">
        <v>3</v>
      </c>
      <c r="C413" t="s">
        <v>1503</v>
      </c>
      <c r="D413" s="1083" t="s">
        <v>1581</v>
      </c>
      <c r="E413" s="556">
        <f ca="1">VLOOKUP(A413,Data!C:I,7,FALSE)</f>
        <v>0</v>
      </c>
      <c r="F413" s="636" t="str">
        <f t="shared" si="60"/>
        <v>RS.AN-13</v>
      </c>
      <c r="G413" s="636" t="str">
        <f t="shared" ca="1" si="61"/>
        <v>RS.AN-130</v>
      </c>
    </row>
    <row r="414" spans="1:7" x14ac:dyDescent="0.25">
      <c r="A414" t="s">
        <v>263</v>
      </c>
      <c r="B414" s="556">
        <v>3</v>
      </c>
      <c r="C414" t="s">
        <v>1503</v>
      </c>
      <c r="D414" s="1080" t="s">
        <v>1587</v>
      </c>
      <c r="E414" s="556">
        <f ca="1">VLOOKUP(A414,Data!C:I,7,FALSE)</f>
        <v>0</v>
      </c>
      <c r="F414" s="636" t="str">
        <f t="shared" si="60"/>
        <v>RS.AN-23</v>
      </c>
      <c r="G414" s="636" t="str">
        <f t="shared" ca="1" si="61"/>
        <v>RS.AN-230</v>
      </c>
    </row>
    <row r="415" spans="1:7" x14ac:dyDescent="0.25">
      <c r="A415" t="s">
        <v>263</v>
      </c>
      <c r="B415" s="556">
        <v>3</v>
      </c>
      <c r="C415" t="s">
        <v>1503</v>
      </c>
      <c r="D415" s="1080" t="s">
        <v>1599</v>
      </c>
      <c r="E415" s="556">
        <f ca="1">VLOOKUP(A415,Data!C:I,7,FALSE)</f>
        <v>0</v>
      </c>
      <c r="F415" s="636" t="str">
        <f t="shared" si="60"/>
        <v>RS.AN-33</v>
      </c>
      <c r="G415" s="636" t="str">
        <f t="shared" ca="1" si="61"/>
        <v>RS.AN-330</v>
      </c>
    </row>
    <row r="416" spans="1:7" x14ac:dyDescent="0.25">
      <c r="A416" t="s">
        <v>263</v>
      </c>
      <c r="B416" s="556">
        <v>3</v>
      </c>
      <c r="C416" t="s">
        <v>1503</v>
      </c>
      <c r="D416" s="1080" t="s">
        <v>1597</v>
      </c>
      <c r="E416" s="556">
        <f ca="1">VLOOKUP(A416,Data!C:I,7,FALSE)</f>
        <v>0</v>
      </c>
      <c r="F416" s="636" t="str">
        <f t="shared" si="60"/>
        <v>RS.IM-13</v>
      </c>
      <c r="G416" s="636" t="str">
        <f t="shared" ca="1" si="61"/>
        <v>RS.IM-130</v>
      </c>
    </row>
    <row r="417" spans="1:7" x14ac:dyDescent="0.25">
      <c r="A417" t="s">
        <v>263</v>
      </c>
      <c r="B417" s="556">
        <v>3</v>
      </c>
      <c r="C417" t="s">
        <v>1503</v>
      </c>
      <c r="D417" s="1080" t="s">
        <v>1598</v>
      </c>
      <c r="E417" s="556">
        <f ca="1">VLOOKUP(A417,Data!C:I,7,FALSE)</f>
        <v>0</v>
      </c>
      <c r="F417" s="636" t="str">
        <f t="shared" si="60"/>
        <v>RS.IM-23</v>
      </c>
      <c r="G417" s="636" t="str">
        <f t="shared" ca="1" si="61"/>
        <v>RS.IM-230</v>
      </c>
    </row>
    <row r="418" spans="1:7" x14ac:dyDescent="0.25">
      <c r="A418" t="s">
        <v>263</v>
      </c>
      <c r="B418" s="556">
        <v>3</v>
      </c>
      <c r="C418" t="s">
        <v>1504</v>
      </c>
      <c r="D418" s="1084" t="s">
        <v>1595</v>
      </c>
      <c r="E418" s="556">
        <f ca="1">VLOOKUP(A418,Data!C:I,7,FALSE)</f>
        <v>0</v>
      </c>
      <c r="F418" s="636" t="str">
        <f t="shared" si="60"/>
        <v>RC.IM-13</v>
      </c>
      <c r="G418" s="636" t="str">
        <f t="shared" ca="1" si="61"/>
        <v>RC.IM-130</v>
      </c>
    </row>
    <row r="419" spans="1:7" x14ac:dyDescent="0.25">
      <c r="A419" t="s">
        <v>263</v>
      </c>
      <c r="B419" s="556">
        <v>3</v>
      </c>
      <c r="C419" t="s">
        <v>1504</v>
      </c>
      <c r="D419" s="1084" t="s">
        <v>1596</v>
      </c>
      <c r="E419" s="556">
        <f ca="1">VLOOKUP(A419,Data!C:I,7,FALSE)</f>
        <v>0</v>
      </c>
      <c r="F419" s="636" t="str">
        <f t="shared" si="60"/>
        <v>RC.IM-23</v>
      </c>
      <c r="G419" s="636" t="str">
        <f t="shared" ca="1" si="61"/>
        <v>RC.IM-230</v>
      </c>
    </row>
    <row r="420" spans="1:7" x14ac:dyDescent="0.25">
      <c r="A420" t="s">
        <v>265</v>
      </c>
      <c r="B420" s="556">
        <v>3</v>
      </c>
      <c r="C420" t="s">
        <v>446</v>
      </c>
      <c r="D420" s="1079" t="s">
        <v>1572</v>
      </c>
      <c r="E420" s="556">
        <f ca="1">VLOOKUP(A420,Data!C:I,7,FALSE)</f>
        <v>0</v>
      </c>
      <c r="F420" s="636" t="str">
        <f t="shared" si="60"/>
        <v>ID.SC-53</v>
      </c>
      <c r="G420" s="636" t="str">
        <f t="shared" ca="1" si="61"/>
        <v>ID.SC-530</v>
      </c>
    </row>
    <row r="421" spans="1:7" x14ac:dyDescent="0.25">
      <c r="A421" t="s">
        <v>265</v>
      </c>
      <c r="B421" s="556">
        <v>3</v>
      </c>
      <c r="C421" t="s">
        <v>1502</v>
      </c>
      <c r="D421" s="1082" t="s">
        <v>1579</v>
      </c>
      <c r="E421" s="556">
        <f ca="1">VLOOKUP(A421,Data!C:I,7,FALSE)</f>
        <v>0</v>
      </c>
      <c r="F421" s="636" t="str">
        <f t="shared" si="60"/>
        <v>DE.DP-43</v>
      </c>
      <c r="G421" s="636" t="str">
        <f t="shared" ca="1" si="61"/>
        <v>DE.DP-430</v>
      </c>
    </row>
    <row r="422" spans="1:7" x14ac:dyDescent="0.25">
      <c r="A422" t="s">
        <v>265</v>
      </c>
      <c r="B422" s="556">
        <v>3</v>
      </c>
      <c r="C422" t="s">
        <v>1503</v>
      </c>
      <c r="D422" s="1083" t="s">
        <v>1570</v>
      </c>
      <c r="E422" s="556">
        <f ca="1">VLOOKUP(A422,Data!C:I,7,FALSE)</f>
        <v>0</v>
      </c>
      <c r="F422" s="636" t="str">
        <f t="shared" si="60"/>
        <v>RS.RP-13</v>
      </c>
      <c r="G422" s="636" t="str">
        <f t="shared" ca="1" si="61"/>
        <v>RS.RP-130</v>
      </c>
    </row>
    <row r="423" spans="1:7" x14ac:dyDescent="0.25">
      <c r="A423" t="s">
        <v>265</v>
      </c>
      <c r="B423" s="556">
        <v>3</v>
      </c>
      <c r="C423" t="s">
        <v>1503</v>
      </c>
      <c r="D423" s="1080" t="s">
        <v>1575</v>
      </c>
      <c r="E423" s="556">
        <f ca="1">VLOOKUP(A423,Data!C:I,7,FALSE)</f>
        <v>0</v>
      </c>
      <c r="F423" s="636" t="str">
        <f t="shared" si="60"/>
        <v>RS.CO-33</v>
      </c>
      <c r="G423" s="636" t="str">
        <f t="shared" ca="1" si="61"/>
        <v>RS.CO-330</v>
      </c>
    </row>
    <row r="424" spans="1:7" x14ac:dyDescent="0.25">
      <c r="A424" t="s">
        <v>265</v>
      </c>
      <c r="B424" s="556">
        <v>3</v>
      </c>
      <c r="C424" t="s">
        <v>1503</v>
      </c>
      <c r="D424" s="1080" t="s">
        <v>1573</v>
      </c>
      <c r="E424" s="556">
        <f ca="1">VLOOKUP(A424,Data!C:I,7,FALSE)</f>
        <v>0</v>
      </c>
      <c r="F424" s="636" t="str">
        <f t="shared" si="60"/>
        <v>RS.CO-43</v>
      </c>
      <c r="G424" s="636" t="str">
        <f t="shared" ca="1" si="61"/>
        <v>RS.CO-430</v>
      </c>
    </row>
    <row r="425" spans="1:7" x14ac:dyDescent="0.25">
      <c r="A425" t="s">
        <v>265</v>
      </c>
      <c r="B425" s="556">
        <v>3</v>
      </c>
      <c r="C425" t="s">
        <v>1503</v>
      </c>
      <c r="D425" s="1080" t="s">
        <v>1606</v>
      </c>
      <c r="E425" s="556">
        <f ca="1">VLOOKUP(A425,Data!C:I,7,FALSE)</f>
        <v>0</v>
      </c>
      <c r="F425" s="636" t="str">
        <f t="shared" si="60"/>
        <v>RS.CO-53</v>
      </c>
      <c r="G425" s="636" t="str">
        <f t="shared" ca="1" si="61"/>
        <v>RS.CO-530</v>
      </c>
    </row>
    <row r="426" spans="1:7" x14ac:dyDescent="0.25">
      <c r="A426" t="s">
        <v>265</v>
      </c>
      <c r="B426" s="556">
        <v>3</v>
      </c>
      <c r="C426" t="s">
        <v>1503</v>
      </c>
      <c r="D426" s="1080" t="s">
        <v>1599</v>
      </c>
      <c r="E426" s="556">
        <f ca="1">VLOOKUP(A426,Data!C:I,7,FALSE)</f>
        <v>0</v>
      </c>
      <c r="F426" s="636" t="str">
        <f t="shared" si="60"/>
        <v>RS.AN-33</v>
      </c>
      <c r="G426" s="636" t="str">
        <f t="shared" ca="1" si="61"/>
        <v>RS.AN-330</v>
      </c>
    </row>
    <row r="427" spans="1:7" x14ac:dyDescent="0.25">
      <c r="A427" t="s">
        <v>265</v>
      </c>
      <c r="B427" s="556">
        <v>3</v>
      </c>
      <c r="C427" t="s">
        <v>1504</v>
      </c>
      <c r="D427" s="1084" t="s">
        <v>1590</v>
      </c>
      <c r="E427" s="556">
        <f ca="1">VLOOKUP(A427,Data!C:I,7,FALSE)</f>
        <v>0</v>
      </c>
      <c r="F427" s="636" t="str">
        <f t="shared" si="60"/>
        <v>RC.RP-13</v>
      </c>
      <c r="G427" s="636" t="str">
        <f t="shared" ca="1" si="61"/>
        <v>RC.RP-130</v>
      </c>
    </row>
    <row r="428" spans="1:7" x14ac:dyDescent="0.25">
      <c r="A428" t="s">
        <v>265</v>
      </c>
      <c r="B428" s="556">
        <v>3</v>
      </c>
      <c r="C428" t="s">
        <v>1504</v>
      </c>
      <c r="D428" s="1084" t="s">
        <v>1589</v>
      </c>
      <c r="E428" s="556">
        <f ca="1">VLOOKUP(A428,Data!C:I,7,FALSE)</f>
        <v>0</v>
      </c>
      <c r="F428" s="636" t="str">
        <f t="shared" si="60"/>
        <v>RC.CO-33</v>
      </c>
      <c r="G428" s="636" t="str">
        <f t="shared" ca="1" si="61"/>
        <v>RC.CO-330</v>
      </c>
    </row>
    <row r="429" spans="1:7" x14ac:dyDescent="0.25">
      <c r="A429" t="s">
        <v>974</v>
      </c>
      <c r="B429" s="556">
        <v>3</v>
      </c>
      <c r="C429" t="s">
        <v>446</v>
      </c>
      <c r="D429" s="1079" t="s">
        <v>1572</v>
      </c>
      <c r="E429" s="556">
        <f ca="1">VLOOKUP(A429,Data!C:I,7,FALSE)</f>
        <v>0</v>
      </c>
      <c r="F429" s="636" t="str">
        <f t="shared" si="60"/>
        <v>ID.SC-53</v>
      </c>
      <c r="G429" s="636" t="str">
        <f t="shared" ca="1" si="61"/>
        <v>ID.SC-530</v>
      </c>
    </row>
    <row r="430" spans="1:7" x14ac:dyDescent="0.25">
      <c r="A430" t="s">
        <v>974</v>
      </c>
      <c r="B430" s="556">
        <v>3</v>
      </c>
      <c r="C430" t="s">
        <v>1501</v>
      </c>
      <c r="D430" s="1075" t="s">
        <v>1594</v>
      </c>
      <c r="E430" s="556">
        <f ca="1">VLOOKUP(A430,Data!C:I,7,FALSE)</f>
        <v>0</v>
      </c>
      <c r="F430" s="636" t="str">
        <f t="shared" si="60"/>
        <v>PR.IP-103</v>
      </c>
      <c r="G430" s="636" t="str">
        <f t="shared" ca="1" si="61"/>
        <v>PR.IP-1030</v>
      </c>
    </row>
    <row r="431" spans="1:7" x14ac:dyDescent="0.25">
      <c r="A431" t="s">
        <v>2617</v>
      </c>
      <c r="B431" s="556">
        <v>3</v>
      </c>
      <c r="C431" t="s">
        <v>1501</v>
      </c>
      <c r="D431" s="1075" t="s">
        <v>1536</v>
      </c>
      <c r="E431" s="556">
        <f ca="1">VLOOKUP(A431,Data!C:I,7,FALSE)</f>
        <v>0</v>
      </c>
      <c r="F431" s="636" t="str">
        <f t="shared" si="60"/>
        <v>PR.PT-53</v>
      </c>
      <c r="G431" s="636" t="str">
        <f t="shared" ca="1" si="61"/>
        <v>PR.PT-530</v>
      </c>
    </row>
    <row r="432" spans="1:7" x14ac:dyDescent="0.25">
      <c r="A432" t="s">
        <v>267</v>
      </c>
      <c r="B432" s="556">
        <v>1</v>
      </c>
      <c r="C432" t="s">
        <v>446</v>
      </c>
      <c r="D432" s="1081" t="s">
        <v>1568</v>
      </c>
      <c r="E432" s="556">
        <f ca="1">VLOOKUP(A432,Data!C:I,7,FALSE)</f>
        <v>0</v>
      </c>
      <c r="F432" s="636" t="str">
        <f t="shared" si="60"/>
        <v>ID.BE-51</v>
      </c>
      <c r="G432" s="636" t="str">
        <f t="shared" ca="1" si="61"/>
        <v>ID.BE-510</v>
      </c>
    </row>
    <row r="433" spans="1:7" x14ac:dyDescent="0.25">
      <c r="A433" t="s">
        <v>267</v>
      </c>
      <c r="B433" s="556">
        <v>1</v>
      </c>
      <c r="C433" t="s">
        <v>1501</v>
      </c>
      <c r="D433" s="1075" t="s">
        <v>1569</v>
      </c>
      <c r="E433" s="556">
        <f ca="1">VLOOKUP(A433,Data!C:I,7,FALSE)</f>
        <v>0</v>
      </c>
      <c r="F433" s="636" t="str">
        <f t="shared" si="60"/>
        <v>PR.IP-91</v>
      </c>
      <c r="G433" s="636" t="str">
        <f t="shared" ca="1" si="61"/>
        <v>PR.IP-910</v>
      </c>
    </row>
    <row r="434" spans="1:7" x14ac:dyDescent="0.25">
      <c r="A434" t="s">
        <v>267</v>
      </c>
      <c r="B434" s="556">
        <v>1</v>
      </c>
      <c r="C434" t="s">
        <v>1501</v>
      </c>
      <c r="D434" s="1075" t="s">
        <v>1536</v>
      </c>
      <c r="E434" s="556">
        <f ca="1">VLOOKUP(A434,Data!C:I,7,FALSE)</f>
        <v>0</v>
      </c>
      <c r="F434" s="636" t="str">
        <f t="shared" si="60"/>
        <v>PR.PT-51</v>
      </c>
      <c r="G434" s="636" t="str">
        <f t="shared" ca="1" si="61"/>
        <v>PR.PT-510</v>
      </c>
    </row>
    <row r="435" spans="1:7" x14ac:dyDescent="0.25">
      <c r="A435" t="s">
        <v>267</v>
      </c>
      <c r="B435" s="556">
        <v>1</v>
      </c>
      <c r="C435" t="s">
        <v>1503</v>
      </c>
      <c r="D435" s="1080" t="s">
        <v>1570</v>
      </c>
      <c r="E435" s="556">
        <f ca="1">VLOOKUP(A435,Data!C:I,7,FALSE)</f>
        <v>0</v>
      </c>
      <c r="F435" s="636" t="str">
        <f t="shared" si="60"/>
        <v>RS.RP-11</v>
      </c>
      <c r="G435" s="636" t="str">
        <f t="shared" ca="1" si="61"/>
        <v>RS.RP-110</v>
      </c>
    </row>
    <row r="436" spans="1:7" x14ac:dyDescent="0.25">
      <c r="A436" t="s">
        <v>267</v>
      </c>
      <c r="B436" s="556">
        <v>1</v>
      </c>
      <c r="C436" t="s">
        <v>1504</v>
      </c>
      <c r="D436" s="1084" t="s">
        <v>1590</v>
      </c>
      <c r="E436" s="556">
        <f ca="1">VLOOKUP(A436,Data!C:I,7,FALSE)</f>
        <v>0</v>
      </c>
      <c r="F436" s="636" t="str">
        <f t="shared" si="60"/>
        <v>RC.RP-11</v>
      </c>
      <c r="G436" s="636" t="str">
        <f t="shared" ca="1" si="61"/>
        <v>RC.RP-110</v>
      </c>
    </row>
    <row r="437" spans="1:7" x14ac:dyDescent="0.25">
      <c r="A437" t="s">
        <v>268</v>
      </c>
      <c r="B437" s="556">
        <v>1</v>
      </c>
      <c r="C437" t="s">
        <v>1501</v>
      </c>
      <c r="D437" s="1075" t="s">
        <v>1534</v>
      </c>
      <c r="E437" s="556">
        <f ca="1">VLOOKUP(A437,Data!C:I,7,FALSE)</f>
        <v>0</v>
      </c>
      <c r="F437" s="636" t="str">
        <f t="shared" si="60"/>
        <v>PR.DS-41</v>
      </c>
      <c r="G437" s="636" t="str">
        <f t="shared" ca="1" si="61"/>
        <v>PR.DS-410</v>
      </c>
    </row>
    <row r="438" spans="1:7" x14ac:dyDescent="0.25">
      <c r="A438" t="s">
        <v>268</v>
      </c>
      <c r="B438" s="556">
        <v>1</v>
      </c>
      <c r="C438" t="s">
        <v>1501</v>
      </c>
      <c r="D438" s="1075" t="s">
        <v>1600</v>
      </c>
      <c r="E438" s="556">
        <f ca="1">VLOOKUP(A438,Data!C:I,7,FALSE)</f>
        <v>0</v>
      </c>
      <c r="F438" s="636" t="str">
        <f t="shared" si="60"/>
        <v>PR.IP-41</v>
      </c>
      <c r="G438" s="636" t="str">
        <f t="shared" ca="1" si="61"/>
        <v>PR.IP-410</v>
      </c>
    </row>
    <row r="439" spans="1:7" x14ac:dyDescent="0.25">
      <c r="A439" t="s">
        <v>268</v>
      </c>
      <c r="B439" s="556">
        <v>1</v>
      </c>
      <c r="C439" t="s">
        <v>1501</v>
      </c>
      <c r="D439" s="1075" t="s">
        <v>1536</v>
      </c>
      <c r="E439" s="556">
        <f ca="1">VLOOKUP(A439,Data!C:I,7,FALSE)</f>
        <v>0</v>
      </c>
      <c r="F439" s="636" t="str">
        <f t="shared" si="60"/>
        <v>PR.PT-51</v>
      </c>
      <c r="G439" s="636" t="str">
        <f t="shared" ca="1" si="61"/>
        <v>PR.PT-510</v>
      </c>
    </row>
    <row r="440" spans="1:7" x14ac:dyDescent="0.25">
      <c r="A440" t="s">
        <v>269</v>
      </c>
      <c r="B440" s="556">
        <v>1</v>
      </c>
      <c r="C440" t="s">
        <v>1501</v>
      </c>
      <c r="D440" s="1075" t="s">
        <v>1534</v>
      </c>
      <c r="E440" s="556">
        <f ca="1">VLOOKUP(A440,Data!C:I,7,FALSE)</f>
        <v>0</v>
      </c>
      <c r="F440" s="636" t="str">
        <f t="shared" si="60"/>
        <v>PR.DS-41</v>
      </c>
      <c r="G440" s="636" t="str">
        <f t="shared" ca="1" si="61"/>
        <v>PR.DS-410</v>
      </c>
    </row>
    <row r="441" spans="1:7" x14ac:dyDescent="0.25">
      <c r="A441" t="s">
        <v>269</v>
      </c>
      <c r="B441" s="556">
        <v>1</v>
      </c>
      <c r="C441" t="s">
        <v>1501</v>
      </c>
      <c r="D441" s="1075" t="s">
        <v>1536</v>
      </c>
      <c r="E441" s="556">
        <f ca="1">VLOOKUP(A441,Data!C:I,7,FALSE)</f>
        <v>0</v>
      </c>
      <c r="F441" s="636" t="str">
        <f t="shared" si="60"/>
        <v>PR.PT-51</v>
      </c>
      <c r="G441" s="636" t="str">
        <f t="shared" ca="1" si="61"/>
        <v>PR.PT-510</v>
      </c>
    </row>
    <row r="442" spans="1:7" x14ac:dyDescent="0.25">
      <c r="A442" t="s">
        <v>270</v>
      </c>
      <c r="B442" s="556">
        <v>2</v>
      </c>
      <c r="C442" t="s">
        <v>446</v>
      </c>
      <c r="D442" s="1079" t="s">
        <v>1613</v>
      </c>
      <c r="E442" s="556">
        <f ca="1">VLOOKUP(A442,Data!C:I,7,FALSE)</f>
        <v>0</v>
      </c>
      <c r="F442" s="636" t="str">
        <f t="shared" si="60"/>
        <v>ID.RA-42</v>
      </c>
      <c r="G442" s="636" t="str">
        <f t="shared" ca="1" si="61"/>
        <v>ID.RA-420</v>
      </c>
    </row>
    <row r="443" spans="1:7" x14ac:dyDescent="0.25">
      <c r="A443" t="s">
        <v>270</v>
      </c>
      <c r="B443" s="556">
        <v>2</v>
      </c>
      <c r="C443" t="s">
        <v>1501</v>
      </c>
      <c r="D443" s="1075" t="s">
        <v>1569</v>
      </c>
      <c r="E443" s="556">
        <f ca="1">VLOOKUP(A443,Data!C:I,7,FALSE)</f>
        <v>0</v>
      </c>
      <c r="F443" s="636" t="str">
        <f t="shared" si="60"/>
        <v>PR.IP-92</v>
      </c>
      <c r="G443" s="636" t="str">
        <f t="shared" ca="1" si="61"/>
        <v>PR.IP-920</v>
      </c>
    </row>
    <row r="444" spans="1:7" x14ac:dyDescent="0.25">
      <c r="A444" t="s">
        <v>270</v>
      </c>
      <c r="B444" s="556">
        <v>2</v>
      </c>
      <c r="C444" t="s">
        <v>1503</v>
      </c>
      <c r="D444" s="1080" t="s">
        <v>1587</v>
      </c>
      <c r="E444" s="556">
        <f ca="1">VLOOKUP(A444,Data!C:I,7,FALSE)</f>
        <v>0</v>
      </c>
      <c r="F444" s="636" t="str">
        <f t="shared" si="60"/>
        <v>RS.AN-22</v>
      </c>
      <c r="G444" s="636" t="str">
        <f t="shared" ca="1" si="61"/>
        <v>RS.AN-220</v>
      </c>
    </row>
    <row r="445" spans="1:7" x14ac:dyDescent="0.25">
      <c r="A445" t="s">
        <v>270</v>
      </c>
      <c r="B445" s="556">
        <v>2</v>
      </c>
      <c r="C445" t="s">
        <v>1503</v>
      </c>
      <c r="D445" s="1080" t="s">
        <v>1598</v>
      </c>
      <c r="E445" s="556">
        <f ca="1">VLOOKUP(A445,Data!C:I,7,FALSE)</f>
        <v>0</v>
      </c>
      <c r="F445" s="636" t="str">
        <f t="shared" si="60"/>
        <v>RS.IM-22</v>
      </c>
      <c r="G445" s="636" t="str">
        <f t="shared" ca="1" si="61"/>
        <v>RS.IM-220</v>
      </c>
    </row>
    <row r="446" spans="1:7" x14ac:dyDescent="0.25">
      <c r="A446" t="s">
        <v>270</v>
      </c>
      <c r="B446" s="556">
        <v>2</v>
      </c>
      <c r="C446" t="s">
        <v>1504</v>
      </c>
      <c r="D446" s="1084" t="s">
        <v>1596</v>
      </c>
      <c r="E446" s="556">
        <f ca="1">VLOOKUP(A446,Data!C:I,7,FALSE)</f>
        <v>0</v>
      </c>
      <c r="F446" s="636" t="str">
        <f t="shared" si="60"/>
        <v>RC.IM-22</v>
      </c>
      <c r="G446" s="636" t="str">
        <f t="shared" ca="1" si="61"/>
        <v>RC.IM-220</v>
      </c>
    </row>
    <row r="447" spans="1:7" x14ac:dyDescent="0.25">
      <c r="A447" t="s">
        <v>271</v>
      </c>
      <c r="B447" s="556">
        <v>2</v>
      </c>
      <c r="C447" t="s">
        <v>446</v>
      </c>
      <c r="D447" s="1079" t="s">
        <v>1551</v>
      </c>
      <c r="E447" s="556">
        <f ca="1">VLOOKUP(A447,Data!C:I,7,FALSE)</f>
        <v>0</v>
      </c>
      <c r="F447" s="636" t="str">
        <f t="shared" si="60"/>
        <v>ID.BE-42</v>
      </c>
      <c r="G447" s="636" t="str">
        <f t="shared" ca="1" si="61"/>
        <v>ID.BE-420</v>
      </c>
    </row>
    <row r="448" spans="1:7" x14ac:dyDescent="0.25">
      <c r="A448" t="s">
        <v>271</v>
      </c>
      <c r="B448" s="556">
        <v>2</v>
      </c>
      <c r="C448" t="s">
        <v>446</v>
      </c>
      <c r="D448" s="1079" t="s">
        <v>1568</v>
      </c>
      <c r="E448" s="556">
        <f ca="1">VLOOKUP(A448,Data!C:I,7,FALSE)</f>
        <v>0</v>
      </c>
      <c r="F448" s="636" t="str">
        <f t="shared" si="60"/>
        <v>ID.BE-52</v>
      </c>
      <c r="G448" s="636" t="str">
        <f t="shared" ca="1" si="61"/>
        <v>ID.BE-520</v>
      </c>
    </row>
    <row r="449" spans="1:7" x14ac:dyDescent="0.25">
      <c r="A449" t="s">
        <v>271</v>
      </c>
      <c r="B449" s="556">
        <v>2</v>
      </c>
      <c r="C449" t="s">
        <v>1501</v>
      </c>
      <c r="D449" s="1075" t="s">
        <v>1534</v>
      </c>
      <c r="E449" s="556">
        <f ca="1">VLOOKUP(A449,Data!C:I,7,FALSE)</f>
        <v>0</v>
      </c>
      <c r="F449" s="636" t="str">
        <f t="shared" si="60"/>
        <v>PR.DS-42</v>
      </c>
      <c r="G449" s="636" t="str">
        <f t="shared" ca="1" si="61"/>
        <v>PR.DS-420</v>
      </c>
    </row>
    <row r="450" spans="1:7" x14ac:dyDescent="0.25">
      <c r="A450" t="s">
        <v>271</v>
      </c>
      <c r="B450" s="556">
        <v>2</v>
      </c>
      <c r="C450" t="s">
        <v>1501</v>
      </c>
      <c r="D450" s="1075" t="s">
        <v>1569</v>
      </c>
      <c r="E450" s="556">
        <f ca="1">VLOOKUP(A450,Data!C:I,7,FALSE)</f>
        <v>0</v>
      </c>
      <c r="F450" s="636" t="str">
        <f t="shared" si="60"/>
        <v>PR.IP-92</v>
      </c>
      <c r="G450" s="636" t="str">
        <f t="shared" ca="1" si="61"/>
        <v>PR.IP-920</v>
      </c>
    </row>
    <row r="451" spans="1:7" x14ac:dyDescent="0.25">
      <c r="A451" t="s">
        <v>271</v>
      </c>
      <c r="B451" s="556">
        <v>2</v>
      </c>
      <c r="C451" t="s">
        <v>1501</v>
      </c>
      <c r="D451" s="1075" t="s">
        <v>1536</v>
      </c>
      <c r="E451" s="556">
        <f ca="1">VLOOKUP(A451,Data!C:I,7,FALSE)</f>
        <v>0</v>
      </c>
      <c r="F451" s="636" t="str">
        <f t="shared" ref="F451:F514" si="62">CONCATENATE($D451,$B451)</f>
        <v>PR.PT-52</v>
      </c>
      <c r="G451" s="636" t="str">
        <f t="shared" ref="G451:G514" ca="1" si="63">_xlfn.IFNA(CONCATENATE(F451,$E451),CONCATENATE(F451,$E451,0))</f>
        <v>PR.PT-520</v>
      </c>
    </row>
    <row r="452" spans="1:7" x14ac:dyDescent="0.25">
      <c r="A452" t="s">
        <v>272</v>
      </c>
      <c r="B452" s="556">
        <v>2</v>
      </c>
      <c r="C452" t="s">
        <v>446</v>
      </c>
      <c r="D452" s="1079" t="s">
        <v>1551</v>
      </c>
      <c r="E452" s="556">
        <f ca="1">VLOOKUP(A452,Data!C:I,7,FALSE)</f>
        <v>0</v>
      </c>
      <c r="F452" s="636" t="str">
        <f t="shared" si="62"/>
        <v>ID.BE-42</v>
      </c>
      <c r="G452" s="636" t="str">
        <f t="shared" ca="1" si="63"/>
        <v>ID.BE-420</v>
      </c>
    </row>
    <row r="453" spans="1:7" x14ac:dyDescent="0.25">
      <c r="A453" t="s">
        <v>272</v>
      </c>
      <c r="B453" s="556">
        <v>2</v>
      </c>
      <c r="C453" t="s">
        <v>446</v>
      </c>
      <c r="D453" s="1079" t="s">
        <v>1568</v>
      </c>
      <c r="E453" s="556">
        <f ca="1">VLOOKUP(A453,Data!C:I,7,FALSE)</f>
        <v>0</v>
      </c>
      <c r="F453" s="636" t="str">
        <f t="shared" si="62"/>
        <v>ID.BE-52</v>
      </c>
      <c r="G453" s="636" t="str">
        <f t="shared" ca="1" si="63"/>
        <v>ID.BE-520</v>
      </c>
    </row>
    <row r="454" spans="1:7" x14ac:dyDescent="0.25">
      <c r="A454" t="s">
        <v>272</v>
      </c>
      <c r="B454" s="556">
        <v>2</v>
      </c>
      <c r="C454" t="s">
        <v>1501</v>
      </c>
      <c r="D454" s="1075" t="s">
        <v>1534</v>
      </c>
      <c r="E454" s="556">
        <f ca="1">VLOOKUP(A454,Data!C:I,7,FALSE)</f>
        <v>0</v>
      </c>
      <c r="F454" s="636" t="str">
        <f t="shared" si="62"/>
        <v>PR.DS-42</v>
      </c>
      <c r="G454" s="636" t="str">
        <f t="shared" ca="1" si="63"/>
        <v>PR.DS-420</v>
      </c>
    </row>
    <row r="455" spans="1:7" x14ac:dyDescent="0.25">
      <c r="A455" t="s">
        <v>272</v>
      </c>
      <c r="B455" s="556">
        <v>2</v>
      </c>
      <c r="C455" t="s">
        <v>1501</v>
      </c>
      <c r="D455" s="1075" t="s">
        <v>1569</v>
      </c>
      <c r="E455" s="556">
        <f ca="1">VLOOKUP(A455,Data!C:I,7,FALSE)</f>
        <v>0</v>
      </c>
      <c r="F455" s="636" t="str">
        <f t="shared" si="62"/>
        <v>PR.IP-92</v>
      </c>
      <c r="G455" s="636" t="str">
        <f t="shared" ca="1" si="63"/>
        <v>PR.IP-920</v>
      </c>
    </row>
    <row r="456" spans="1:7" x14ac:dyDescent="0.25">
      <c r="A456" t="s">
        <v>272</v>
      </c>
      <c r="B456" s="556">
        <v>2</v>
      </c>
      <c r="C456" t="s">
        <v>1501</v>
      </c>
      <c r="D456" s="1075" t="s">
        <v>1536</v>
      </c>
      <c r="E456" s="556">
        <f ca="1">VLOOKUP(A456,Data!C:I,7,FALSE)</f>
        <v>0</v>
      </c>
      <c r="F456" s="636" t="str">
        <f t="shared" si="62"/>
        <v>PR.PT-52</v>
      </c>
      <c r="G456" s="636" t="str">
        <f t="shared" ca="1" si="63"/>
        <v>PR.PT-520</v>
      </c>
    </row>
    <row r="457" spans="1:7" x14ac:dyDescent="0.25">
      <c r="A457" t="s">
        <v>273</v>
      </c>
      <c r="B457" s="556">
        <v>2</v>
      </c>
      <c r="C457" t="s">
        <v>446</v>
      </c>
      <c r="D457" s="1079" t="s">
        <v>1568</v>
      </c>
      <c r="E457" s="556">
        <f ca="1">VLOOKUP(A457,Data!C:I,7,FALSE)</f>
        <v>0</v>
      </c>
      <c r="F457" s="636" t="str">
        <f t="shared" si="62"/>
        <v>ID.BE-52</v>
      </c>
      <c r="G457" s="636" t="str">
        <f t="shared" ca="1" si="63"/>
        <v>ID.BE-520</v>
      </c>
    </row>
    <row r="458" spans="1:7" x14ac:dyDescent="0.25">
      <c r="A458" t="s">
        <v>273</v>
      </c>
      <c r="B458" s="556">
        <v>2</v>
      </c>
      <c r="C458" t="s">
        <v>446</v>
      </c>
      <c r="D458" s="1079" t="s">
        <v>1572</v>
      </c>
      <c r="E458" s="556">
        <f ca="1">VLOOKUP(A458,Data!C:I,7,FALSE)</f>
        <v>0</v>
      </c>
      <c r="F458" s="636" t="str">
        <f t="shared" si="62"/>
        <v>ID.SC-52</v>
      </c>
      <c r="G458" s="636" t="str">
        <f t="shared" ca="1" si="63"/>
        <v>ID.SC-520</v>
      </c>
    </row>
    <row r="459" spans="1:7" x14ac:dyDescent="0.25">
      <c r="A459" t="s">
        <v>975</v>
      </c>
      <c r="B459" s="556">
        <v>2</v>
      </c>
      <c r="C459" t="s">
        <v>1501</v>
      </c>
      <c r="D459" s="1075" t="s">
        <v>1569</v>
      </c>
      <c r="E459" s="556">
        <f ca="1">VLOOKUP(A459,Data!C:I,7,FALSE)</f>
        <v>0</v>
      </c>
      <c r="F459" s="636" t="str">
        <f t="shared" si="62"/>
        <v>PR.IP-92</v>
      </c>
      <c r="G459" s="636" t="str">
        <f t="shared" ca="1" si="63"/>
        <v>PR.IP-920</v>
      </c>
    </row>
    <row r="460" spans="1:7" x14ac:dyDescent="0.25">
      <c r="A460" t="s">
        <v>975</v>
      </c>
      <c r="B460" s="556">
        <v>2</v>
      </c>
      <c r="C460" t="s">
        <v>1502</v>
      </c>
      <c r="D460" s="1076" t="s">
        <v>1584</v>
      </c>
      <c r="E460" s="556">
        <f ca="1">VLOOKUP(A460,Data!C:I,7,FALSE)</f>
        <v>0</v>
      </c>
      <c r="F460" s="636" t="str">
        <f t="shared" si="62"/>
        <v>DE.AE-52</v>
      </c>
      <c r="G460" s="636" t="str">
        <f t="shared" ca="1" si="63"/>
        <v>DE.AE-520</v>
      </c>
    </row>
    <row r="461" spans="1:7" x14ac:dyDescent="0.25">
      <c r="A461" t="s">
        <v>975</v>
      </c>
      <c r="B461" s="556">
        <v>2</v>
      </c>
      <c r="C461" t="s">
        <v>1503</v>
      </c>
      <c r="D461" s="1080" t="s">
        <v>1587</v>
      </c>
      <c r="E461" s="556">
        <f ca="1">VLOOKUP(A461,Data!C:I,7,FALSE)</f>
        <v>0</v>
      </c>
      <c r="F461" s="636" t="str">
        <f t="shared" si="62"/>
        <v>RS.AN-22</v>
      </c>
      <c r="G461" s="636" t="str">
        <f t="shared" ca="1" si="63"/>
        <v>RS.AN-220</v>
      </c>
    </row>
    <row r="462" spans="1:7" x14ac:dyDescent="0.25">
      <c r="A462" t="s">
        <v>975</v>
      </c>
      <c r="B462" s="556">
        <v>2</v>
      </c>
      <c r="C462" t="s">
        <v>1503</v>
      </c>
      <c r="D462" s="1080" t="s">
        <v>1585</v>
      </c>
      <c r="E462" s="556">
        <f ca="1">VLOOKUP(A462,Data!C:I,7,FALSE)</f>
        <v>0</v>
      </c>
      <c r="F462" s="636" t="str">
        <f t="shared" si="62"/>
        <v>RS.AN-42</v>
      </c>
      <c r="G462" s="636" t="str">
        <f t="shared" ca="1" si="63"/>
        <v>RS.AN-420</v>
      </c>
    </row>
    <row r="463" spans="1:7" x14ac:dyDescent="0.25">
      <c r="A463" t="s">
        <v>976</v>
      </c>
      <c r="B463" s="556">
        <v>2</v>
      </c>
      <c r="C463" t="s">
        <v>446</v>
      </c>
      <c r="D463" s="1079" t="s">
        <v>1572</v>
      </c>
      <c r="E463" s="556">
        <f ca="1">VLOOKUP(A463,Data!C:I,7,FALSE)</f>
        <v>0</v>
      </c>
      <c r="F463" s="636" t="str">
        <f t="shared" si="62"/>
        <v>ID.SC-52</v>
      </c>
      <c r="G463" s="636" t="str">
        <f t="shared" ca="1" si="63"/>
        <v>ID.SC-520</v>
      </c>
    </row>
    <row r="464" spans="1:7" x14ac:dyDescent="0.25">
      <c r="A464" t="s">
        <v>976</v>
      </c>
      <c r="B464" s="556">
        <v>2</v>
      </c>
      <c r="C464" t="s">
        <v>1501</v>
      </c>
      <c r="D464" s="1075" t="s">
        <v>1569</v>
      </c>
      <c r="E464" s="556">
        <f ca="1">VLOOKUP(A464,Data!C:I,7,FALSE)</f>
        <v>0</v>
      </c>
      <c r="F464" s="636" t="str">
        <f t="shared" si="62"/>
        <v>PR.IP-92</v>
      </c>
      <c r="G464" s="636" t="str">
        <f t="shared" ca="1" si="63"/>
        <v>PR.IP-920</v>
      </c>
    </row>
    <row r="465" spans="1:7" x14ac:dyDescent="0.25">
      <c r="A465" t="s">
        <v>976</v>
      </c>
      <c r="B465" s="556">
        <v>2</v>
      </c>
      <c r="C465" t="s">
        <v>1501</v>
      </c>
      <c r="D465" s="1075" t="s">
        <v>1594</v>
      </c>
      <c r="E465" s="556">
        <f ca="1">VLOOKUP(A465,Data!C:I,7,FALSE)</f>
        <v>0</v>
      </c>
      <c r="F465" s="636" t="str">
        <f t="shared" si="62"/>
        <v>PR.IP-102</v>
      </c>
      <c r="G465" s="636" t="str">
        <f t="shared" ca="1" si="63"/>
        <v>PR.IP-1020</v>
      </c>
    </row>
    <row r="466" spans="1:7" x14ac:dyDescent="0.25">
      <c r="A466" t="s">
        <v>976</v>
      </c>
      <c r="B466" s="556">
        <v>2</v>
      </c>
      <c r="C466" t="s">
        <v>1501</v>
      </c>
      <c r="D466" s="1075" t="s">
        <v>1536</v>
      </c>
      <c r="E466" s="556">
        <f ca="1">VLOOKUP(A466,Data!C:I,7,FALSE)</f>
        <v>0</v>
      </c>
      <c r="F466" s="636" t="str">
        <f t="shared" si="62"/>
        <v>PR.PT-52</v>
      </c>
      <c r="G466" s="636" t="str">
        <f t="shared" ca="1" si="63"/>
        <v>PR.PT-520</v>
      </c>
    </row>
    <row r="467" spans="1:7" x14ac:dyDescent="0.25">
      <c r="A467" t="s">
        <v>976</v>
      </c>
      <c r="B467" s="556">
        <v>2</v>
      </c>
      <c r="C467" t="s">
        <v>1504</v>
      </c>
      <c r="D467" s="1078" t="s">
        <v>1595</v>
      </c>
      <c r="E467" s="556">
        <f ca="1">VLOOKUP(A467,Data!C:I,7,FALSE)</f>
        <v>0</v>
      </c>
      <c r="F467" s="636" t="str">
        <f t="shared" si="62"/>
        <v>RC.IM-12</v>
      </c>
      <c r="G467" s="636" t="str">
        <f t="shared" ca="1" si="63"/>
        <v>RC.IM-120</v>
      </c>
    </row>
    <row r="468" spans="1:7" x14ac:dyDescent="0.25">
      <c r="A468" t="s">
        <v>977</v>
      </c>
      <c r="B468" s="556">
        <v>2</v>
      </c>
      <c r="C468" t="s">
        <v>1501</v>
      </c>
      <c r="D468" s="1075" t="s">
        <v>1546</v>
      </c>
      <c r="E468" s="556">
        <f ca="1">VLOOKUP(A468,Data!C:I,7,FALSE)</f>
        <v>0</v>
      </c>
      <c r="F468" s="636" t="str">
        <f t="shared" si="62"/>
        <v>PR.DS-12</v>
      </c>
      <c r="G468" s="636" t="str">
        <f t="shared" ca="1" si="63"/>
        <v>PR.DS-120</v>
      </c>
    </row>
    <row r="469" spans="1:7" x14ac:dyDescent="0.25">
      <c r="A469" t="s">
        <v>978</v>
      </c>
      <c r="B469" s="556">
        <v>2</v>
      </c>
      <c r="C469" t="s">
        <v>1501</v>
      </c>
      <c r="D469" s="1075" t="s">
        <v>1546</v>
      </c>
      <c r="E469" s="556">
        <f ca="1">VLOOKUP(A469,Data!C:I,7,FALSE)</f>
        <v>0</v>
      </c>
      <c r="F469" s="636" t="str">
        <f t="shared" si="62"/>
        <v>PR.DS-12</v>
      </c>
      <c r="G469" s="636" t="str">
        <f t="shared" ca="1" si="63"/>
        <v>PR.DS-120</v>
      </c>
    </row>
    <row r="470" spans="1:7" x14ac:dyDescent="0.25">
      <c r="A470" t="s">
        <v>979</v>
      </c>
      <c r="B470" s="556">
        <v>2</v>
      </c>
      <c r="C470" t="s">
        <v>1501</v>
      </c>
      <c r="D470" s="1075" t="s">
        <v>1534</v>
      </c>
      <c r="E470" s="556">
        <f ca="1">VLOOKUP(A470,Data!C:I,7,FALSE)</f>
        <v>0</v>
      </c>
      <c r="F470" s="636" t="str">
        <f t="shared" si="62"/>
        <v>PR.DS-42</v>
      </c>
      <c r="G470" s="636" t="str">
        <f t="shared" ca="1" si="63"/>
        <v>PR.DS-420</v>
      </c>
    </row>
    <row r="471" spans="1:7" x14ac:dyDescent="0.25">
      <c r="A471" t="s">
        <v>979</v>
      </c>
      <c r="B471" s="556">
        <v>2</v>
      </c>
      <c r="C471" t="s">
        <v>1501</v>
      </c>
      <c r="D471" s="1075" t="s">
        <v>1536</v>
      </c>
      <c r="E471" s="556">
        <f ca="1">VLOOKUP(A471,Data!C:I,7,FALSE)</f>
        <v>0</v>
      </c>
      <c r="F471" s="636" t="str">
        <f t="shared" si="62"/>
        <v>PR.PT-52</v>
      </c>
      <c r="G471" s="636" t="str">
        <f t="shared" ca="1" si="63"/>
        <v>PR.PT-520</v>
      </c>
    </row>
    <row r="472" spans="1:7" x14ac:dyDescent="0.25">
      <c r="A472" t="s">
        <v>981</v>
      </c>
      <c r="B472" s="556">
        <v>3</v>
      </c>
      <c r="C472" t="s">
        <v>1501</v>
      </c>
      <c r="D472" s="1075" t="s">
        <v>1594</v>
      </c>
      <c r="E472" s="556">
        <f ca="1">VLOOKUP(A472,Data!C:I,7,FALSE)</f>
        <v>0</v>
      </c>
      <c r="F472" s="636" t="str">
        <f t="shared" si="62"/>
        <v>PR.IP-103</v>
      </c>
      <c r="G472" s="636" t="str">
        <f t="shared" ca="1" si="63"/>
        <v>PR.IP-1030</v>
      </c>
    </row>
    <row r="473" spans="1:7" x14ac:dyDescent="0.25">
      <c r="A473" t="s">
        <v>982</v>
      </c>
      <c r="B473" s="556">
        <v>3</v>
      </c>
      <c r="C473" t="s">
        <v>1501</v>
      </c>
      <c r="D473" s="1075" t="s">
        <v>1569</v>
      </c>
      <c r="E473" s="556">
        <f ca="1">VLOOKUP(A473,Data!C:I,7,FALSE)</f>
        <v>0</v>
      </c>
      <c r="F473" s="636" t="str">
        <f t="shared" si="62"/>
        <v>PR.IP-93</v>
      </c>
      <c r="G473" s="636" t="str">
        <f t="shared" ca="1" si="63"/>
        <v>PR.IP-930</v>
      </c>
    </row>
    <row r="474" spans="1:7" x14ac:dyDescent="0.25">
      <c r="A474" t="s">
        <v>982</v>
      </c>
      <c r="B474" s="556">
        <v>3</v>
      </c>
      <c r="C474" t="s">
        <v>1503</v>
      </c>
      <c r="D474" s="1080" t="s">
        <v>1597</v>
      </c>
      <c r="E474" s="556">
        <f ca="1">VLOOKUP(A474,Data!C:I,7,FALSE)</f>
        <v>0</v>
      </c>
      <c r="F474" s="636" t="str">
        <f t="shared" si="62"/>
        <v>RS.IM-13</v>
      </c>
      <c r="G474" s="636" t="str">
        <f t="shared" ca="1" si="63"/>
        <v>RS.IM-130</v>
      </c>
    </row>
    <row r="475" spans="1:7" x14ac:dyDescent="0.25">
      <c r="A475" t="s">
        <v>982</v>
      </c>
      <c r="B475" s="556">
        <v>3</v>
      </c>
      <c r="C475" t="s">
        <v>1503</v>
      </c>
      <c r="D475" s="1080" t="s">
        <v>1598</v>
      </c>
      <c r="E475" s="556">
        <f ca="1">VLOOKUP(A475,Data!C:I,7,FALSE)</f>
        <v>0</v>
      </c>
      <c r="F475" s="636" t="str">
        <f t="shared" si="62"/>
        <v>RS.IM-23</v>
      </c>
      <c r="G475" s="636" t="str">
        <f t="shared" ca="1" si="63"/>
        <v>RS.IM-230</v>
      </c>
    </row>
    <row r="476" spans="1:7" x14ac:dyDescent="0.25">
      <c r="A476" t="s">
        <v>982</v>
      </c>
      <c r="B476" s="556">
        <v>3</v>
      </c>
      <c r="C476" t="s">
        <v>1504</v>
      </c>
      <c r="D476" s="1084" t="s">
        <v>1595</v>
      </c>
      <c r="E476" s="556">
        <f ca="1">VLOOKUP(A476,Data!C:I,7,FALSE)</f>
        <v>0</v>
      </c>
      <c r="F476" s="636" t="str">
        <f t="shared" si="62"/>
        <v>RC.IM-13</v>
      </c>
      <c r="G476" s="636" t="str">
        <f t="shared" ca="1" si="63"/>
        <v>RC.IM-130</v>
      </c>
    </row>
    <row r="477" spans="1:7" x14ac:dyDescent="0.25">
      <c r="A477" t="s">
        <v>982</v>
      </c>
      <c r="B477" s="556">
        <v>3</v>
      </c>
      <c r="C477" t="s">
        <v>1504</v>
      </c>
      <c r="D477" s="1084" t="s">
        <v>1596</v>
      </c>
      <c r="E477" s="556">
        <f ca="1">VLOOKUP(A477,Data!C:I,7,FALSE)</f>
        <v>0</v>
      </c>
      <c r="F477" s="636" t="str">
        <f t="shared" si="62"/>
        <v>RC.IM-23</v>
      </c>
      <c r="G477" s="636" t="str">
        <f t="shared" ca="1" si="63"/>
        <v>RC.IM-230</v>
      </c>
    </row>
    <row r="478" spans="1:7" x14ac:dyDescent="0.25">
      <c r="A478" t="s">
        <v>983</v>
      </c>
      <c r="B478" s="556">
        <v>3</v>
      </c>
      <c r="C478" t="s">
        <v>1501</v>
      </c>
      <c r="D478" s="1075" t="s">
        <v>1569</v>
      </c>
      <c r="E478" s="556">
        <f ca="1">VLOOKUP(A478,Data!C:I,7,FALSE)</f>
        <v>0</v>
      </c>
      <c r="F478" s="636" t="str">
        <f t="shared" si="62"/>
        <v>PR.IP-93</v>
      </c>
      <c r="G478" s="636" t="str">
        <f t="shared" ca="1" si="63"/>
        <v>PR.IP-930</v>
      </c>
    </row>
    <row r="479" spans="1:7" x14ac:dyDescent="0.25">
      <c r="A479" t="s">
        <v>983</v>
      </c>
      <c r="B479" s="556">
        <v>3</v>
      </c>
      <c r="C479" t="s">
        <v>1503</v>
      </c>
      <c r="D479" s="1080" t="s">
        <v>1597</v>
      </c>
      <c r="E479" s="556">
        <f ca="1">VLOOKUP(A479,Data!C:I,7,FALSE)</f>
        <v>0</v>
      </c>
      <c r="F479" s="636" t="str">
        <f t="shared" si="62"/>
        <v>RS.IM-13</v>
      </c>
      <c r="G479" s="636" t="str">
        <f t="shared" ca="1" si="63"/>
        <v>RS.IM-130</v>
      </c>
    </row>
    <row r="480" spans="1:7" x14ac:dyDescent="0.25">
      <c r="A480" t="s">
        <v>983</v>
      </c>
      <c r="B480" s="556">
        <v>3</v>
      </c>
      <c r="C480" t="s">
        <v>1503</v>
      </c>
      <c r="D480" s="1080" t="s">
        <v>1598</v>
      </c>
      <c r="E480" s="556">
        <f ca="1">VLOOKUP(A480,Data!C:I,7,FALSE)</f>
        <v>0</v>
      </c>
      <c r="F480" s="636" t="str">
        <f t="shared" si="62"/>
        <v>RS.IM-23</v>
      </c>
      <c r="G480" s="636" t="str">
        <f t="shared" ca="1" si="63"/>
        <v>RS.IM-230</v>
      </c>
    </row>
    <row r="481" spans="1:7" x14ac:dyDescent="0.25">
      <c r="A481" t="s">
        <v>983</v>
      </c>
      <c r="B481" s="556">
        <v>3</v>
      </c>
      <c r="C481" t="s">
        <v>1504</v>
      </c>
      <c r="D481" s="1084" t="s">
        <v>1595</v>
      </c>
      <c r="E481" s="556">
        <f ca="1">VLOOKUP(A481,Data!C:I,7,FALSE)</f>
        <v>0</v>
      </c>
      <c r="F481" s="636" t="str">
        <f t="shared" si="62"/>
        <v>RC.IM-13</v>
      </c>
      <c r="G481" s="636" t="str">
        <f t="shared" ca="1" si="63"/>
        <v>RC.IM-130</v>
      </c>
    </row>
    <row r="482" spans="1:7" x14ac:dyDescent="0.25">
      <c r="A482" t="s">
        <v>983</v>
      </c>
      <c r="B482" s="556">
        <v>3</v>
      </c>
      <c r="C482" t="s">
        <v>1504</v>
      </c>
      <c r="D482" s="1084" t="s">
        <v>1596</v>
      </c>
      <c r="E482" s="556">
        <f ca="1">VLOOKUP(A482,Data!C:I,7,FALSE)</f>
        <v>0</v>
      </c>
      <c r="F482" s="636" t="str">
        <f t="shared" si="62"/>
        <v>RC.IM-23</v>
      </c>
      <c r="G482" s="636" t="str">
        <f t="shared" ca="1" si="63"/>
        <v>RC.IM-230</v>
      </c>
    </row>
    <row r="483" spans="1:7" x14ac:dyDescent="0.25">
      <c r="A483" t="s">
        <v>985</v>
      </c>
      <c r="B483" s="556">
        <v>2</v>
      </c>
      <c r="C483" t="s">
        <v>1501</v>
      </c>
      <c r="D483" s="1075" t="s">
        <v>1569</v>
      </c>
      <c r="E483" s="556">
        <f ca="1">VLOOKUP(A483,Data!C:I,7,FALSE)</f>
        <v>0</v>
      </c>
      <c r="F483" s="636" t="str">
        <f t="shared" si="62"/>
        <v>PR.IP-92</v>
      </c>
      <c r="G483" s="636" t="str">
        <f t="shared" ca="1" si="63"/>
        <v>PR.IP-920</v>
      </c>
    </row>
    <row r="484" spans="1:7" x14ac:dyDescent="0.25">
      <c r="A484" t="s">
        <v>985</v>
      </c>
      <c r="B484" s="556">
        <v>2</v>
      </c>
      <c r="C484" t="s">
        <v>1503</v>
      </c>
      <c r="D484" s="1083" t="s">
        <v>1570</v>
      </c>
      <c r="E484" s="556">
        <f ca="1">VLOOKUP(A484,Data!C:I,7,FALSE)</f>
        <v>0</v>
      </c>
      <c r="F484" s="636" t="str">
        <f t="shared" si="62"/>
        <v>RS.RP-12</v>
      </c>
      <c r="G484" s="636" t="str">
        <f t="shared" ca="1" si="63"/>
        <v>RS.RP-120</v>
      </c>
    </row>
    <row r="485" spans="1:7" x14ac:dyDescent="0.25">
      <c r="A485" t="s">
        <v>985</v>
      </c>
      <c r="B485" s="556">
        <v>2</v>
      </c>
      <c r="C485" t="s">
        <v>1503</v>
      </c>
      <c r="D485" s="1080" t="s">
        <v>1597</v>
      </c>
      <c r="E485" s="556">
        <f ca="1">VLOOKUP(A485,Data!C:I,7,FALSE)</f>
        <v>0</v>
      </c>
      <c r="F485" s="636" t="str">
        <f t="shared" si="62"/>
        <v>RS.IM-12</v>
      </c>
      <c r="G485" s="636" t="str">
        <f t="shared" ca="1" si="63"/>
        <v>RS.IM-120</v>
      </c>
    </row>
    <row r="486" spans="1:7" x14ac:dyDescent="0.25">
      <c r="A486" t="s">
        <v>985</v>
      </c>
      <c r="B486" s="556">
        <v>2</v>
      </c>
      <c r="C486" t="s">
        <v>1504</v>
      </c>
      <c r="D486" s="1085" t="s">
        <v>1590</v>
      </c>
      <c r="E486" s="556">
        <f ca="1">VLOOKUP(A486,Data!C:I,7,FALSE)</f>
        <v>0</v>
      </c>
      <c r="F486" s="636" t="str">
        <f t="shared" si="62"/>
        <v>RC.RP-12</v>
      </c>
      <c r="G486" s="636" t="str">
        <f t="shared" ca="1" si="63"/>
        <v>RC.RP-120</v>
      </c>
    </row>
    <row r="487" spans="1:7" x14ac:dyDescent="0.25">
      <c r="A487" t="s">
        <v>985</v>
      </c>
      <c r="B487" s="556">
        <v>2</v>
      </c>
      <c r="C487" t="s">
        <v>1504</v>
      </c>
      <c r="D487" s="1084" t="s">
        <v>1595</v>
      </c>
      <c r="E487" s="556">
        <f ca="1">VLOOKUP(A487,Data!C:I,7,FALSE)</f>
        <v>0</v>
      </c>
      <c r="F487" s="636" t="str">
        <f t="shared" si="62"/>
        <v>RC.IM-12</v>
      </c>
      <c r="G487" s="636" t="str">
        <f t="shared" ca="1" si="63"/>
        <v>RC.IM-120</v>
      </c>
    </row>
    <row r="488" spans="1:7" x14ac:dyDescent="0.25">
      <c r="A488" t="s">
        <v>987</v>
      </c>
      <c r="B488" s="556">
        <v>3</v>
      </c>
      <c r="C488" t="s">
        <v>446</v>
      </c>
      <c r="D488" s="1079" t="s">
        <v>1562</v>
      </c>
      <c r="E488" s="556">
        <f ca="1">VLOOKUP(A488,Data!C:I,7,FALSE)</f>
        <v>0</v>
      </c>
      <c r="F488" s="636" t="str">
        <f t="shared" si="62"/>
        <v>ID.GV-13</v>
      </c>
      <c r="G488" s="636" t="str">
        <f t="shared" ca="1" si="63"/>
        <v>ID.GV-130</v>
      </c>
    </row>
    <row r="489" spans="1:7" x14ac:dyDescent="0.25">
      <c r="A489" t="s">
        <v>987</v>
      </c>
      <c r="B489" s="556">
        <v>3</v>
      </c>
      <c r="C489" t="s">
        <v>446</v>
      </c>
      <c r="D489" s="1079" t="s">
        <v>1576</v>
      </c>
      <c r="E489" s="556">
        <f ca="1">VLOOKUP(A489,Data!C:I,7,FALSE)</f>
        <v>0</v>
      </c>
      <c r="F489" s="636" t="str">
        <f t="shared" si="62"/>
        <v>ID.GV-33</v>
      </c>
      <c r="G489" s="636" t="str">
        <f t="shared" ca="1" si="63"/>
        <v>ID.GV-330</v>
      </c>
    </row>
    <row r="490" spans="1:7" x14ac:dyDescent="0.25">
      <c r="A490" t="s">
        <v>987</v>
      </c>
      <c r="B490" s="556">
        <v>3</v>
      </c>
      <c r="C490" t="s">
        <v>1502</v>
      </c>
      <c r="D490" s="1076" t="s">
        <v>1580</v>
      </c>
      <c r="E490" s="556">
        <f ca="1">VLOOKUP(A490,Data!C:I,7,FALSE)</f>
        <v>0</v>
      </c>
      <c r="F490" s="636" t="str">
        <f t="shared" si="62"/>
        <v>DE.DP-23</v>
      </c>
      <c r="G490" s="636" t="str">
        <f t="shared" ca="1" si="63"/>
        <v>DE.DP-230</v>
      </c>
    </row>
    <row r="491" spans="1:7" x14ac:dyDescent="0.25">
      <c r="A491" t="s">
        <v>987</v>
      </c>
      <c r="B491" s="556">
        <v>3</v>
      </c>
      <c r="C491" t="s">
        <v>1503</v>
      </c>
      <c r="D491" s="1080" t="s">
        <v>1598</v>
      </c>
      <c r="E491" s="556">
        <f ca="1">VLOOKUP(A491,Data!C:I,7,FALSE)</f>
        <v>0</v>
      </c>
      <c r="F491" s="636" t="str">
        <f t="shared" si="62"/>
        <v>RS.IM-23</v>
      </c>
      <c r="G491" s="636" t="str">
        <f t="shared" ca="1" si="63"/>
        <v>RS.IM-230</v>
      </c>
    </row>
    <row r="492" spans="1:7" x14ac:dyDescent="0.25">
      <c r="A492" t="s">
        <v>987</v>
      </c>
      <c r="B492" s="556">
        <v>3</v>
      </c>
      <c r="C492" t="s">
        <v>1504</v>
      </c>
      <c r="D492" s="1084" t="s">
        <v>1596</v>
      </c>
      <c r="E492" s="556">
        <f ca="1">VLOOKUP(A492,Data!C:I,7,FALSE)</f>
        <v>0</v>
      </c>
      <c r="F492" s="636" t="str">
        <f t="shared" si="62"/>
        <v>RC.IM-23</v>
      </c>
      <c r="G492" s="636" t="str">
        <f t="shared" ca="1" si="63"/>
        <v>RC.IM-230</v>
      </c>
    </row>
    <row r="493" spans="1:7" x14ac:dyDescent="0.25">
      <c r="A493" t="s">
        <v>988</v>
      </c>
      <c r="B493" s="556">
        <v>3</v>
      </c>
      <c r="C493" t="s">
        <v>446</v>
      </c>
      <c r="D493" s="1079" t="s">
        <v>1529</v>
      </c>
      <c r="E493" s="556">
        <f ca="1">VLOOKUP(A493,Data!C:I,7,FALSE)</f>
        <v>0</v>
      </c>
      <c r="F493" s="636" t="str">
        <f t="shared" si="62"/>
        <v>ID.AM-63</v>
      </c>
      <c r="G493" s="636" t="str">
        <f t="shared" ca="1" si="63"/>
        <v>ID.AM-630</v>
      </c>
    </row>
    <row r="494" spans="1:7" x14ac:dyDescent="0.25">
      <c r="A494" t="s">
        <v>988</v>
      </c>
      <c r="B494" s="556">
        <v>3</v>
      </c>
      <c r="C494" t="s">
        <v>446</v>
      </c>
      <c r="D494" s="1079" t="s">
        <v>1562</v>
      </c>
      <c r="E494" s="556">
        <f ca="1">VLOOKUP(A494,Data!C:I,7,FALSE)</f>
        <v>0</v>
      </c>
      <c r="F494" s="636" t="str">
        <f t="shared" si="62"/>
        <v>ID.GV-13</v>
      </c>
      <c r="G494" s="636" t="str">
        <f t="shared" ca="1" si="63"/>
        <v>ID.GV-130</v>
      </c>
    </row>
    <row r="495" spans="1:7" x14ac:dyDescent="0.25">
      <c r="A495" t="s">
        <v>988</v>
      </c>
      <c r="B495" s="556">
        <v>3</v>
      </c>
      <c r="C495" t="s">
        <v>446</v>
      </c>
      <c r="D495" s="1079" t="s">
        <v>1530</v>
      </c>
      <c r="E495" s="556">
        <f ca="1">VLOOKUP(A495,Data!C:I,7,FALSE)</f>
        <v>0</v>
      </c>
      <c r="F495" s="636" t="str">
        <f t="shared" si="62"/>
        <v>ID.GV-23</v>
      </c>
      <c r="G495" s="636" t="str">
        <f t="shared" ca="1" si="63"/>
        <v>ID.GV-230</v>
      </c>
    </row>
    <row r="496" spans="1:7" x14ac:dyDescent="0.25">
      <c r="A496" t="s">
        <v>988</v>
      </c>
      <c r="B496" s="556">
        <v>3</v>
      </c>
      <c r="C496" t="s">
        <v>446</v>
      </c>
      <c r="D496" s="1079" t="s">
        <v>1576</v>
      </c>
      <c r="E496" s="556">
        <f ca="1">VLOOKUP(A496,Data!C:I,7,FALSE)</f>
        <v>0</v>
      </c>
      <c r="F496" s="636" t="str">
        <f t="shared" si="62"/>
        <v>ID.GV-33</v>
      </c>
      <c r="G496" s="636" t="str">
        <f t="shared" ca="1" si="63"/>
        <v>ID.GV-330</v>
      </c>
    </row>
    <row r="497" spans="1:7" x14ac:dyDescent="0.25">
      <c r="A497" t="s">
        <v>988</v>
      </c>
      <c r="B497" s="556">
        <v>3</v>
      </c>
      <c r="C497" t="s">
        <v>1501</v>
      </c>
      <c r="D497" s="1075" t="s">
        <v>1615</v>
      </c>
      <c r="E497" s="556">
        <f ca="1">VLOOKUP(A497,Data!C:I,7,FALSE)</f>
        <v>0</v>
      </c>
      <c r="F497" s="636" t="str">
        <f t="shared" si="62"/>
        <v>PR.AT-23</v>
      </c>
      <c r="G497" s="636" t="str">
        <f t="shared" ca="1" si="63"/>
        <v>PR.AT-230</v>
      </c>
    </row>
    <row r="498" spans="1:7" x14ac:dyDescent="0.25">
      <c r="A498" t="s">
        <v>988</v>
      </c>
      <c r="B498" s="556">
        <v>3</v>
      </c>
      <c r="C498" t="s">
        <v>1501</v>
      </c>
      <c r="D498" s="1075" t="s">
        <v>1616</v>
      </c>
      <c r="E498" s="556">
        <f ca="1">VLOOKUP(A498,Data!C:I,7,FALSE)</f>
        <v>0</v>
      </c>
      <c r="F498" s="636" t="str">
        <f t="shared" si="62"/>
        <v>PR.AT-33</v>
      </c>
      <c r="G498" s="636" t="str">
        <f t="shared" ca="1" si="63"/>
        <v>PR.AT-330</v>
      </c>
    </row>
    <row r="499" spans="1:7" x14ac:dyDescent="0.25">
      <c r="A499" t="s">
        <v>988</v>
      </c>
      <c r="B499" s="556">
        <v>3</v>
      </c>
      <c r="C499" t="s">
        <v>1501</v>
      </c>
      <c r="D499" s="1075" t="s">
        <v>1565</v>
      </c>
      <c r="E499" s="556">
        <f ca="1">VLOOKUP(A499,Data!C:I,7,FALSE)</f>
        <v>0</v>
      </c>
      <c r="F499" s="636" t="str">
        <f t="shared" si="62"/>
        <v>PR.AT-43</v>
      </c>
      <c r="G499" s="636" t="str">
        <f t="shared" ca="1" si="63"/>
        <v>PR.AT-430</v>
      </c>
    </row>
    <row r="500" spans="1:7" x14ac:dyDescent="0.25">
      <c r="A500" t="s">
        <v>988</v>
      </c>
      <c r="B500" s="556">
        <v>3</v>
      </c>
      <c r="C500" t="s">
        <v>1501</v>
      </c>
      <c r="D500" s="1075" t="s">
        <v>1617</v>
      </c>
      <c r="E500" s="556">
        <f ca="1">VLOOKUP(A500,Data!C:I,7,FALSE)</f>
        <v>0</v>
      </c>
      <c r="F500" s="636" t="str">
        <f t="shared" si="62"/>
        <v>PR.AT-53</v>
      </c>
      <c r="G500" s="636" t="str">
        <f t="shared" ca="1" si="63"/>
        <v>PR.AT-530</v>
      </c>
    </row>
    <row r="501" spans="1:7" x14ac:dyDescent="0.25">
      <c r="A501" t="s">
        <v>988</v>
      </c>
      <c r="B501" s="556">
        <v>3</v>
      </c>
      <c r="C501" t="s">
        <v>1502</v>
      </c>
      <c r="D501" s="1076" t="s">
        <v>1578</v>
      </c>
      <c r="E501" s="556">
        <f ca="1">VLOOKUP(A501,Data!C:I,7,FALSE)</f>
        <v>0</v>
      </c>
      <c r="F501" s="636" t="str">
        <f t="shared" si="62"/>
        <v>DE.DP-13</v>
      </c>
      <c r="G501" s="636" t="str">
        <f t="shared" ca="1" si="63"/>
        <v>DE.DP-130</v>
      </c>
    </row>
    <row r="502" spans="1:7" x14ac:dyDescent="0.25">
      <c r="A502" t="s">
        <v>988</v>
      </c>
      <c r="B502" s="556">
        <v>3</v>
      </c>
      <c r="C502" t="s">
        <v>1503</v>
      </c>
      <c r="D502" s="1080" t="s">
        <v>1571</v>
      </c>
      <c r="E502" s="556">
        <f ca="1">VLOOKUP(A502,Data!C:I,7,FALSE)</f>
        <v>0</v>
      </c>
      <c r="F502" s="636" t="str">
        <f t="shared" si="62"/>
        <v>RS.CO-13</v>
      </c>
      <c r="G502" s="636" t="str">
        <f t="shared" ca="1" si="63"/>
        <v>RS.CO-130</v>
      </c>
    </row>
    <row r="503" spans="1:7" x14ac:dyDescent="0.25">
      <c r="A503" t="s">
        <v>989</v>
      </c>
      <c r="B503" s="556">
        <v>3</v>
      </c>
      <c r="C503" t="s">
        <v>1501</v>
      </c>
      <c r="D503" s="1075" t="s">
        <v>1619</v>
      </c>
      <c r="E503" s="556">
        <f ca="1">VLOOKUP(A503,Data!C:I,7,FALSE)</f>
        <v>0</v>
      </c>
      <c r="F503" s="636" t="str">
        <f t="shared" si="62"/>
        <v>PR.AT-13</v>
      </c>
      <c r="G503" s="636" t="str">
        <f t="shared" ca="1" si="63"/>
        <v>PR.AT-130</v>
      </c>
    </row>
    <row r="504" spans="1:7" x14ac:dyDescent="0.25">
      <c r="A504" t="s">
        <v>989</v>
      </c>
      <c r="B504" s="556">
        <v>3</v>
      </c>
      <c r="C504" t="s">
        <v>1503</v>
      </c>
      <c r="D504" s="1080" t="s">
        <v>1571</v>
      </c>
      <c r="E504" s="556">
        <f ca="1">VLOOKUP(A504,Data!C:I,7,FALSE)</f>
        <v>0</v>
      </c>
      <c r="F504" s="636" t="str">
        <f t="shared" si="62"/>
        <v>RS.CO-13</v>
      </c>
      <c r="G504" s="636" t="str">
        <f t="shared" ca="1" si="63"/>
        <v>RS.CO-130</v>
      </c>
    </row>
    <row r="505" spans="1:7" x14ac:dyDescent="0.25">
      <c r="A505" t="s">
        <v>990</v>
      </c>
      <c r="B505" s="556">
        <v>3</v>
      </c>
      <c r="C505" t="s">
        <v>1501</v>
      </c>
      <c r="D505" s="1075" t="s">
        <v>1781</v>
      </c>
      <c r="E505" s="556">
        <f ca="1">VLOOKUP(A505,Data!C:I,7,FALSE)</f>
        <v>0</v>
      </c>
      <c r="F505" s="636" t="str">
        <f t="shared" si="62"/>
        <v>PR.IP-73</v>
      </c>
      <c r="G505" s="636" t="str">
        <f t="shared" ca="1" si="63"/>
        <v>PR.IP-730</v>
      </c>
    </row>
    <row r="506" spans="1:7" x14ac:dyDescent="0.25">
      <c r="A506" t="s">
        <v>990</v>
      </c>
      <c r="B506" s="556">
        <v>3</v>
      </c>
      <c r="C506" t="s">
        <v>1502</v>
      </c>
      <c r="D506" s="1076" t="s">
        <v>1583</v>
      </c>
      <c r="E506" s="556">
        <f ca="1">VLOOKUP(A506,Data!C:I,7,FALSE)</f>
        <v>0</v>
      </c>
      <c r="F506" s="636" t="str">
        <f t="shared" si="62"/>
        <v>DE.DP-53</v>
      </c>
      <c r="G506" s="636" t="str">
        <f t="shared" ca="1" si="63"/>
        <v>DE.DP-530</v>
      </c>
    </row>
    <row r="507" spans="1:7" x14ac:dyDescent="0.25">
      <c r="A507" t="s">
        <v>41</v>
      </c>
      <c r="B507" s="556">
        <v>1</v>
      </c>
      <c r="C507" t="s">
        <v>446</v>
      </c>
      <c r="D507" s="1079" t="s">
        <v>1566</v>
      </c>
      <c r="E507" s="556">
        <f ca="1">VLOOKUP(A507,Data!C:I,7,FALSE)</f>
        <v>0</v>
      </c>
      <c r="F507" s="636" t="str">
        <f t="shared" si="62"/>
        <v>ID.GV-41</v>
      </c>
      <c r="G507" s="636" t="str">
        <f t="shared" ca="1" si="63"/>
        <v>ID.GV-410</v>
      </c>
    </row>
    <row r="508" spans="1:7" x14ac:dyDescent="0.25">
      <c r="A508" t="s">
        <v>41</v>
      </c>
      <c r="B508" s="556">
        <v>1</v>
      </c>
      <c r="C508" t="s">
        <v>446</v>
      </c>
      <c r="D508" s="1079" t="s">
        <v>1567</v>
      </c>
      <c r="E508" s="556">
        <f ca="1">VLOOKUP(A508,Data!C:I,7,FALSE)</f>
        <v>0</v>
      </c>
      <c r="F508" s="636" t="str">
        <f t="shared" si="62"/>
        <v>ID.RM-11</v>
      </c>
      <c r="G508" s="636" t="str">
        <f t="shared" ca="1" si="63"/>
        <v>ID.RM-110</v>
      </c>
    </row>
    <row r="509" spans="1:7" x14ac:dyDescent="0.25">
      <c r="A509" t="s">
        <v>41</v>
      </c>
      <c r="B509" s="556">
        <v>1</v>
      </c>
      <c r="C509" t="s">
        <v>446</v>
      </c>
      <c r="D509" s="1079" t="s">
        <v>1604</v>
      </c>
      <c r="E509" s="556">
        <f ca="1">VLOOKUP(A509,Data!C:I,7,FALSE)</f>
        <v>0</v>
      </c>
      <c r="F509" s="636" t="str">
        <f t="shared" si="62"/>
        <v>ID.RM-21</v>
      </c>
      <c r="G509" s="636" t="str">
        <f t="shared" ca="1" si="63"/>
        <v>ID.RM-210</v>
      </c>
    </row>
    <row r="510" spans="1:7" x14ac:dyDescent="0.25">
      <c r="A510" t="s">
        <v>41</v>
      </c>
      <c r="B510" s="556">
        <v>1</v>
      </c>
      <c r="C510" t="s">
        <v>446</v>
      </c>
      <c r="D510" s="1079" t="s">
        <v>1733</v>
      </c>
      <c r="E510" s="556">
        <f ca="1">VLOOKUP(A510,Data!C:I,7,FALSE)</f>
        <v>0</v>
      </c>
      <c r="F510" s="636" t="str">
        <f t="shared" si="62"/>
        <v>ID.RM-31</v>
      </c>
      <c r="G510" s="636" t="str">
        <f t="shared" ca="1" si="63"/>
        <v>ID.RM-310</v>
      </c>
    </row>
    <row r="511" spans="1:7" x14ac:dyDescent="0.25">
      <c r="A511" t="s">
        <v>42</v>
      </c>
      <c r="B511" s="556">
        <v>2</v>
      </c>
      <c r="C511" t="s">
        <v>446</v>
      </c>
      <c r="D511" s="1079" t="s">
        <v>1567</v>
      </c>
      <c r="E511" s="556">
        <f ca="1">VLOOKUP(A511,Data!C:I,7,FALSE)</f>
        <v>0</v>
      </c>
      <c r="F511" s="636" t="str">
        <f t="shared" si="62"/>
        <v>ID.RM-12</v>
      </c>
      <c r="G511" s="636" t="str">
        <f t="shared" ca="1" si="63"/>
        <v>ID.RM-120</v>
      </c>
    </row>
    <row r="512" spans="1:7" x14ac:dyDescent="0.25">
      <c r="A512" t="s">
        <v>42</v>
      </c>
      <c r="B512" s="556">
        <v>2</v>
      </c>
      <c r="C512" t="s">
        <v>446</v>
      </c>
      <c r="D512" s="1079" t="s">
        <v>1604</v>
      </c>
      <c r="E512" s="556">
        <f ca="1">VLOOKUP(A512,Data!C:I,7,FALSE)</f>
        <v>0</v>
      </c>
      <c r="F512" s="636" t="str">
        <f t="shared" si="62"/>
        <v>ID.RM-22</v>
      </c>
      <c r="G512" s="636" t="str">
        <f t="shared" ca="1" si="63"/>
        <v>ID.RM-220</v>
      </c>
    </row>
    <row r="513" spans="1:7" x14ac:dyDescent="0.25">
      <c r="A513" t="s">
        <v>42</v>
      </c>
      <c r="B513" s="556">
        <v>2</v>
      </c>
      <c r="C513" t="s">
        <v>446</v>
      </c>
      <c r="D513" s="1079" t="s">
        <v>1733</v>
      </c>
      <c r="E513" s="556">
        <f ca="1">VLOOKUP(A513,Data!C:I,7,FALSE)</f>
        <v>0</v>
      </c>
      <c r="F513" s="636" t="str">
        <f t="shared" si="62"/>
        <v>ID.RM-32</v>
      </c>
      <c r="G513" s="636" t="str">
        <f t="shared" ca="1" si="63"/>
        <v>ID.RM-320</v>
      </c>
    </row>
    <row r="514" spans="1:7" x14ac:dyDescent="0.25">
      <c r="A514" t="s">
        <v>43</v>
      </c>
      <c r="B514" s="556">
        <v>2</v>
      </c>
      <c r="C514" t="s">
        <v>446</v>
      </c>
      <c r="D514" s="1079" t="s">
        <v>1566</v>
      </c>
      <c r="E514" s="556">
        <f ca="1">VLOOKUP(A514,Data!C:I,7,FALSE)</f>
        <v>0</v>
      </c>
      <c r="F514" s="636" t="str">
        <f t="shared" si="62"/>
        <v>ID.GV-42</v>
      </c>
      <c r="G514" s="636" t="str">
        <f t="shared" ca="1" si="63"/>
        <v>ID.GV-420</v>
      </c>
    </row>
    <row r="515" spans="1:7" x14ac:dyDescent="0.25">
      <c r="A515" t="s">
        <v>45</v>
      </c>
      <c r="B515" s="556">
        <v>2</v>
      </c>
      <c r="C515" t="s">
        <v>446</v>
      </c>
      <c r="D515" s="1079" t="s">
        <v>1566</v>
      </c>
      <c r="E515" s="556">
        <f ca="1">VLOOKUP(A515,Data!C:I,7,FALSE)</f>
        <v>0</v>
      </c>
      <c r="F515" s="636" t="str">
        <f t="shared" ref="F515:F578" si="64">CONCATENATE($D515,$B515)</f>
        <v>ID.GV-42</v>
      </c>
      <c r="G515" s="636" t="str">
        <f t="shared" ref="G515:G578" ca="1" si="65">_xlfn.IFNA(CONCATENATE(F515,$E515),CONCATENATE(F515,$E515,0))</f>
        <v>ID.GV-420</v>
      </c>
    </row>
    <row r="516" spans="1:7" x14ac:dyDescent="0.25">
      <c r="A516" t="s">
        <v>45</v>
      </c>
      <c r="B516" s="556">
        <v>2</v>
      </c>
      <c r="C516" t="s">
        <v>1501</v>
      </c>
      <c r="D516" s="1075" t="s">
        <v>1531</v>
      </c>
      <c r="E516" s="556">
        <f ca="1">VLOOKUP(A516,Data!C:I,7,FALSE)</f>
        <v>0</v>
      </c>
      <c r="F516" s="636" t="str">
        <f t="shared" si="64"/>
        <v>PR.IP-82</v>
      </c>
      <c r="G516" s="636" t="str">
        <f t="shared" ca="1" si="65"/>
        <v>PR.IP-820</v>
      </c>
    </row>
    <row r="517" spans="1:7" x14ac:dyDescent="0.25">
      <c r="A517" t="s">
        <v>47</v>
      </c>
      <c r="B517" s="556">
        <v>2</v>
      </c>
      <c r="C517" t="s">
        <v>446</v>
      </c>
      <c r="D517" s="1079" t="s">
        <v>1562</v>
      </c>
      <c r="E517" s="556">
        <f ca="1">VLOOKUP(A517,Data!C:I,7,FALSE)</f>
        <v>0</v>
      </c>
      <c r="F517" s="636" t="str">
        <f t="shared" si="64"/>
        <v>ID.GV-12</v>
      </c>
      <c r="G517" s="636" t="str">
        <f t="shared" ca="1" si="65"/>
        <v>ID.GV-120</v>
      </c>
    </row>
    <row r="518" spans="1:7" x14ac:dyDescent="0.25">
      <c r="A518" t="s">
        <v>47</v>
      </c>
      <c r="B518" s="556">
        <v>2</v>
      </c>
      <c r="C518" t="s">
        <v>446</v>
      </c>
      <c r="D518" s="1079" t="s">
        <v>1566</v>
      </c>
      <c r="E518" s="556">
        <f ca="1">VLOOKUP(A518,Data!C:I,7,FALSE)</f>
        <v>0</v>
      </c>
      <c r="F518" s="636" t="str">
        <f t="shared" si="64"/>
        <v>ID.GV-42</v>
      </c>
      <c r="G518" s="636" t="str">
        <f t="shared" ca="1" si="65"/>
        <v>ID.GV-420</v>
      </c>
    </row>
    <row r="519" spans="1:7" x14ac:dyDescent="0.25">
      <c r="A519" t="s">
        <v>47</v>
      </c>
      <c r="B519" s="556">
        <v>2</v>
      </c>
      <c r="C519" t="s">
        <v>446</v>
      </c>
      <c r="D519" s="1079" t="s">
        <v>1567</v>
      </c>
      <c r="E519" s="556">
        <f ca="1">VLOOKUP(A519,Data!C:I,7,FALSE)</f>
        <v>0</v>
      </c>
      <c r="F519" s="636" t="str">
        <f t="shared" si="64"/>
        <v>ID.RM-12</v>
      </c>
      <c r="G519" s="636" t="str">
        <f t="shared" ca="1" si="65"/>
        <v>ID.RM-120</v>
      </c>
    </row>
    <row r="520" spans="1:7" x14ac:dyDescent="0.25">
      <c r="A520" t="s">
        <v>49</v>
      </c>
      <c r="B520" s="556">
        <v>2</v>
      </c>
      <c r="C520" t="s">
        <v>446</v>
      </c>
      <c r="D520" s="1079" t="s">
        <v>1604</v>
      </c>
      <c r="E520" s="556">
        <f ca="1">VLOOKUP(A520,Data!C:I,7,FALSE)</f>
        <v>0</v>
      </c>
      <c r="F520" s="636" t="str">
        <f t="shared" si="64"/>
        <v>ID.RM-22</v>
      </c>
      <c r="G520" s="636" t="str">
        <f t="shared" ca="1" si="65"/>
        <v>ID.RM-220</v>
      </c>
    </row>
    <row r="521" spans="1:7" x14ac:dyDescent="0.25">
      <c r="A521" t="s">
        <v>49</v>
      </c>
      <c r="B521" s="556">
        <v>2</v>
      </c>
      <c r="C521" t="s">
        <v>446</v>
      </c>
      <c r="D521" s="1079" t="s">
        <v>1733</v>
      </c>
      <c r="E521" s="556">
        <f ca="1">VLOOKUP(A521,Data!C:I,7,FALSE)</f>
        <v>0</v>
      </c>
      <c r="F521" s="636" t="str">
        <f t="shared" si="64"/>
        <v>ID.RM-32</v>
      </c>
      <c r="G521" s="636" t="str">
        <f t="shared" ca="1" si="65"/>
        <v>ID.RM-320</v>
      </c>
    </row>
    <row r="522" spans="1:7" x14ac:dyDescent="0.25">
      <c r="A522" t="s">
        <v>49</v>
      </c>
      <c r="B522" s="556">
        <v>2</v>
      </c>
      <c r="C522" t="s">
        <v>446</v>
      </c>
      <c r="D522" s="1079" t="s">
        <v>1563</v>
      </c>
      <c r="E522" s="556">
        <f ca="1">VLOOKUP(A522,Data!C:I,7,FALSE)</f>
        <v>0</v>
      </c>
      <c r="F522" s="636" t="str">
        <f t="shared" si="64"/>
        <v>ID.SC-12</v>
      </c>
      <c r="G522" s="636" t="str">
        <f t="shared" ca="1" si="65"/>
        <v>ID.SC-120</v>
      </c>
    </row>
    <row r="523" spans="1:7" x14ac:dyDescent="0.25">
      <c r="A523" t="s">
        <v>51</v>
      </c>
      <c r="B523" s="556">
        <v>3</v>
      </c>
      <c r="C523" t="s">
        <v>446</v>
      </c>
      <c r="D523" s="1079" t="s">
        <v>1566</v>
      </c>
      <c r="E523" s="556">
        <f ca="1">VLOOKUP(A523,Data!C:I,7,FALSE)</f>
        <v>0</v>
      </c>
      <c r="F523" s="636" t="str">
        <f t="shared" si="64"/>
        <v>ID.GV-43</v>
      </c>
      <c r="G523" s="636" t="str">
        <f t="shared" ca="1" si="65"/>
        <v>ID.GV-430</v>
      </c>
    </row>
    <row r="524" spans="1:7" x14ac:dyDescent="0.25">
      <c r="A524" t="s">
        <v>51</v>
      </c>
      <c r="B524" s="556">
        <v>3</v>
      </c>
      <c r="C524" t="s">
        <v>446</v>
      </c>
      <c r="D524" s="1079" t="s">
        <v>1567</v>
      </c>
      <c r="E524" s="556">
        <f ca="1">VLOOKUP(A524,Data!C:I,7,FALSE)</f>
        <v>0</v>
      </c>
      <c r="F524" s="636" t="str">
        <f t="shared" si="64"/>
        <v>ID.RM-13</v>
      </c>
      <c r="G524" s="636" t="str">
        <f t="shared" ca="1" si="65"/>
        <v>ID.RM-130</v>
      </c>
    </row>
    <row r="525" spans="1:7" x14ac:dyDescent="0.25">
      <c r="A525" t="s">
        <v>53</v>
      </c>
      <c r="B525" s="556">
        <v>3</v>
      </c>
      <c r="C525" t="s">
        <v>446</v>
      </c>
      <c r="D525" s="1079" t="s">
        <v>1566</v>
      </c>
      <c r="E525" s="556">
        <f ca="1">VLOOKUP(A525,Data!C:I,7,FALSE)</f>
        <v>0</v>
      </c>
      <c r="F525" s="636" t="str">
        <f t="shared" si="64"/>
        <v>ID.GV-43</v>
      </c>
      <c r="G525" s="636" t="str">
        <f t="shared" ca="1" si="65"/>
        <v>ID.GV-430</v>
      </c>
    </row>
    <row r="526" spans="1:7" x14ac:dyDescent="0.25">
      <c r="A526" t="s">
        <v>58</v>
      </c>
      <c r="B526" s="556">
        <v>1</v>
      </c>
      <c r="C526" t="s">
        <v>446</v>
      </c>
      <c r="D526" s="1079" t="s">
        <v>1566</v>
      </c>
      <c r="E526" s="556">
        <f ca="1">VLOOKUP(A526,Data!C:I,7,FALSE)</f>
        <v>0</v>
      </c>
      <c r="F526" s="636" t="str">
        <f t="shared" si="64"/>
        <v>ID.GV-41</v>
      </c>
      <c r="G526" s="636" t="str">
        <f t="shared" ca="1" si="65"/>
        <v>ID.GV-410</v>
      </c>
    </row>
    <row r="527" spans="1:7" x14ac:dyDescent="0.25">
      <c r="A527" t="s">
        <v>60</v>
      </c>
      <c r="B527" s="556">
        <v>2</v>
      </c>
      <c r="C527" t="s">
        <v>446</v>
      </c>
      <c r="D527" s="1079" t="s">
        <v>1613</v>
      </c>
      <c r="E527" s="556">
        <f ca="1">VLOOKUP(A527,Data!C:I,7,FALSE)</f>
        <v>0</v>
      </c>
      <c r="F527" s="636" t="str">
        <f t="shared" si="64"/>
        <v>ID.RA-42</v>
      </c>
      <c r="G527" s="636" t="str">
        <f t="shared" ca="1" si="65"/>
        <v>ID.RA-420</v>
      </c>
    </row>
    <row r="528" spans="1:7" x14ac:dyDescent="0.25">
      <c r="A528" t="s">
        <v>60</v>
      </c>
      <c r="B528" s="556">
        <v>2</v>
      </c>
      <c r="C528" t="s">
        <v>446</v>
      </c>
      <c r="D528" s="1079" t="s">
        <v>1552</v>
      </c>
      <c r="E528" s="556">
        <f ca="1">VLOOKUP(A528,Data!C:I,7,FALSE)</f>
        <v>0</v>
      </c>
      <c r="F528" s="636" t="str">
        <f t="shared" si="64"/>
        <v>ID.RA-52</v>
      </c>
      <c r="G528" s="636" t="str">
        <f t="shared" ca="1" si="65"/>
        <v>ID.RA-520</v>
      </c>
    </row>
    <row r="529" spans="1:7" x14ac:dyDescent="0.25">
      <c r="A529" t="s">
        <v>60</v>
      </c>
      <c r="B529" s="556">
        <v>2</v>
      </c>
      <c r="C529" t="s">
        <v>446</v>
      </c>
      <c r="D529" s="1078" t="s">
        <v>1567</v>
      </c>
      <c r="E529" s="556">
        <f ca="1">VLOOKUP(A529,Data!C:I,7,FALSE)</f>
        <v>0</v>
      </c>
      <c r="F529" s="636" t="str">
        <f t="shared" si="64"/>
        <v>ID.RM-12</v>
      </c>
      <c r="G529" s="636" t="str">
        <f t="shared" ca="1" si="65"/>
        <v>ID.RM-120</v>
      </c>
    </row>
    <row r="530" spans="1:7" x14ac:dyDescent="0.25">
      <c r="A530" t="s">
        <v>946</v>
      </c>
      <c r="B530" s="556">
        <v>2</v>
      </c>
      <c r="C530" t="s">
        <v>446</v>
      </c>
      <c r="D530" s="1078" t="s">
        <v>1567</v>
      </c>
      <c r="E530" s="556">
        <f ca="1">VLOOKUP(A530,Data!C:I,7,FALSE)</f>
        <v>0</v>
      </c>
      <c r="F530" s="636" t="str">
        <f t="shared" si="64"/>
        <v>ID.RM-12</v>
      </c>
      <c r="G530" s="636" t="str">
        <f t="shared" ca="1" si="65"/>
        <v>ID.RM-120</v>
      </c>
    </row>
    <row r="531" spans="1:7" x14ac:dyDescent="0.25">
      <c r="A531" t="s">
        <v>948</v>
      </c>
      <c r="B531" s="556">
        <v>3</v>
      </c>
      <c r="C531" t="s">
        <v>446</v>
      </c>
      <c r="D531" s="1079" t="s">
        <v>1552</v>
      </c>
      <c r="E531" s="556">
        <f ca="1">VLOOKUP(A531,Data!C:I,7,FALSE)</f>
        <v>0</v>
      </c>
      <c r="F531" s="636" t="str">
        <f t="shared" si="64"/>
        <v>ID.RA-53</v>
      </c>
      <c r="G531" s="636" t="str">
        <f t="shared" ca="1" si="65"/>
        <v>ID.RA-530</v>
      </c>
    </row>
    <row r="532" spans="1:7" x14ac:dyDescent="0.25">
      <c r="A532" t="s">
        <v>948</v>
      </c>
      <c r="B532" s="556">
        <v>3</v>
      </c>
      <c r="C532" t="s">
        <v>1503</v>
      </c>
      <c r="D532" s="1080" t="s">
        <v>1601</v>
      </c>
      <c r="E532" s="556">
        <f ca="1">VLOOKUP(A532,Data!C:I,7,FALSE)</f>
        <v>0</v>
      </c>
      <c r="F532" s="636" t="str">
        <f t="shared" si="64"/>
        <v>RS.MI-33</v>
      </c>
      <c r="G532" s="636" t="str">
        <f t="shared" ca="1" si="65"/>
        <v>RS.MI-330</v>
      </c>
    </row>
    <row r="533" spans="1:7" x14ac:dyDescent="0.25">
      <c r="A533" t="s">
        <v>949</v>
      </c>
      <c r="B533" s="556">
        <v>3</v>
      </c>
      <c r="C533" t="s">
        <v>446</v>
      </c>
      <c r="D533" s="1079" t="s">
        <v>1552</v>
      </c>
      <c r="E533" s="556">
        <f ca="1">VLOOKUP(A533,Data!C:I,7,FALSE)</f>
        <v>0</v>
      </c>
      <c r="F533" s="636" t="str">
        <f t="shared" si="64"/>
        <v>ID.RA-53</v>
      </c>
      <c r="G533" s="636" t="str">
        <f t="shared" ca="1" si="65"/>
        <v>ID.RA-530</v>
      </c>
    </row>
    <row r="534" spans="1:7" x14ac:dyDescent="0.25">
      <c r="A534" t="s">
        <v>950</v>
      </c>
      <c r="B534" s="556">
        <v>3</v>
      </c>
      <c r="C534" t="s">
        <v>446</v>
      </c>
      <c r="D534" s="1079" t="s">
        <v>1563</v>
      </c>
      <c r="E534" s="556">
        <f ca="1">VLOOKUP(A534,Data!C:I,7,FALSE)</f>
        <v>0</v>
      </c>
      <c r="F534" s="636" t="str">
        <f t="shared" si="64"/>
        <v>ID.SC-13</v>
      </c>
      <c r="G534" s="636" t="str">
        <f t="shared" ca="1" si="65"/>
        <v>ID.SC-130</v>
      </c>
    </row>
    <row r="535" spans="1:7" x14ac:dyDescent="0.25">
      <c r="A535" t="s">
        <v>952</v>
      </c>
      <c r="B535" s="556">
        <v>3</v>
      </c>
      <c r="C535" t="s">
        <v>446</v>
      </c>
      <c r="D535" s="1079" t="s">
        <v>1561</v>
      </c>
      <c r="E535" s="556">
        <f ca="1">VLOOKUP(A535,Data!C:I,7,FALSE)</f>
        <v>0</v>
      </c>
      <c r="F535" s="636" t="str">
        <f t="shared" si="64"/>
        <v>ID.BE-13</v>
      </c>
      <c r="G535" s="636" t="str">
        <f t="shared" ca="1" si="65"/>
        <v>ID.BE-130</v>
      </c>
    </row>
    <row r="536" spans="1:7" x14ac:dyDescent="0.25">
      <c r="A536" t="s">
        <v>952</v>
      </c>
      <c r="B536" s="556">
        <v>3</v>
      </c>
      <c r="C536" t="s">
        <v>446</v>
      </c>
      <c r="D536" s="1079" t="s">
        <v>1559</v>
      </c>
      <c r="E536" s="556">
        <f ca="1">VLOOKUP(A536,Data!C:I,7,FALSE)</f>
        <v>0</v>
      </c>
      <c r="F536" s="636" t="str">
        <f t="shared" si="64"/>
        <v>ID.BE-23</v>
      </c>
      <c r="G536" s="636" t="str">
        <f t="shared" ca="1" si="65"/>
        <v>ID.BE-230</v>
      </c>
    </row>
    <row r="537" spans="1:7" x14ac:dyDescent="0.25">
      <c r="A537" t="s">
        <v>952</v>
      </c>
      <c r="B537" s="556">
        <v>3</v>
      </c>
      <c r="C537" t="s">
        <v>446</v>
      </c>
      <c r="D537" s="1079" t="s">
        <v>1551</v>
      </c>
      <c r="E537" s="556">
        <f ca="1">VLOOKUP(A537,Data!C:I,7,FALSE)</f>
        <v>0</v>
      </c>
      <c r="F537" s="636" t="str">
        <f t="shared" si="64"/>
        <v>ID.BE-43</v>
      </c>
      <c r="G537" s="636" t="str">
        <f t="shared" ca="1" si="65"/>
        <v>ID.BE-430</v>
      </c>
    </row>
    <row r="538" spans="1:7" x14ac:dyDescent="0.25">
      <c r="A538" t="s">
        <v>952</v>
      </c>
      <c r="B538" s="556">
        <v>3</v>
      </c>
      <c r="C538" t="s">
        <v>446</v>
      </c>
      <c r="D538" s="1081" t="s">
        <v>1552</v>
      </c>
      <c r="E538" s="556">
        <f ca="1">VLOOKUP(A538,Data!C:I,7,FALSE)</f>
        <v>0</v>
      </c>
      <c r="F538" s="636" t="str">
        <f t="shared" si="64"/>
        <v>ID.RA-53</v>
      </c>
      <c r="G538" s="636" t="str">
        <f t="shared" ca="1" si="65"/>
        <v>ID.RA-530</v>
      </c>
    </row>
    <row r="539" spans="1:7" x14ac:dyDescent="0.25">
      <c r="A539" t="s">
        <v>952</v>
      </c>
      <c r="B539" s="556">
        <v>3</v>
      </c>
      <c r="C539" t="s">
        <v>446</v>
      </c>
      <c r="D539" s="1079" t="s">
        <v>1733</v>
      </c>
      <c r="E539" s="556">
        <f ca="1">VLOOKUP(A539,Data!C:I,7,FALSE)</f>
        <v>0</v>
      </c>
      <c r="F539" s="636" t="str">
        <f t="shared" si="64"/>
        <v>ID.RM-33</v>
      </c>
      <c r="G539" s="636" t="str">
        <f t="shared" ca="1" si="65"/>
        <v>ID.RM-330</v>
      </c>
    </row>
    <row r="540" spans="1:7" x14ac:dyDescent="0.25">
      <c r="A540" t="s">
        <v>70</v>
      </c>
      <c r="B540" s="556">
        <v>1</v>
      </c>
      <c r="C540" t="s">
        <v>446</v>
      </c>
      <c r="D540" s="1079" t="s">
        <v>1613</v>
      </c>
      <c r="E540" s="556">
        <f ca="1">VLOOKUP(A540,Data!C:I,7,FALSE)</f>
        <v>0</v>
      </c>
      <c r="F540" s="636" t="str">
        <f t="shared" si="64"/>
        <v>ID.RA-41</v>
      </c>
      <c r="G540" s="636" t="str">
        <f t="shared" ca="1" si="65"/>
        <v>ID.RA-410</v>
      </c>
    </row>
    <row r="541" spans="1:7" x14ac:dyDescent="0.25">
      <c r="A541" t="s">
        <v>70</v>
      </c>
      <c r="B541" s="556">
        <v>1</v>
      </c>
      <c r="C541" t="s">
        <v>446</v>
      </c>
      <c r="D541" s="1079" t="s">
        <v>1552</v>
      </c>
      <c r="E541" s="556">
        <f ca="1">VLOOKUP(A541,Data!C:I,7,FALSE)</f>
        <v>0</v>
      </c>
      <c r="F541" s="636" t="str">
        <f t="shared" si="64"/>
        <v>ID.RA-51</v>
      </c>
      <c r="G541" s="636" t="str">
        <f t="shared" ca="1" si="65"/>
        <v>ID.RA-510</v>
      </c>
    </row>
    <row r="542" spans="1:7" x14ac:dyDescent="0.25">
      <c r="A542" t="s">
        <v>72</v>
      </c>
      <c r="B542" s="556">
        <v>2</v>
      </c>
      <c r="C542" t="s">
        <v>446</v>
      </c>
      <c r="D542" s="1079" t="s">
        <v>1613</v>
      </c>
      <c r="E542" s="556">
        <f ca="1">VLOOKUP(A542,Data!C:I,7,FALSE)</f>
        <v>0</v>
      </c>
      <c r="F542" s="636" t="str">
        <f t="shared" si="64"/>
        <v>ID.RA-42</v>
      </c>
      <c r="G542" s="636" t="str">
        <f t="shared" ca="1" si="65"/>
        <v>ID.RA-420</v>
      </c>
    </row>
    <row r="543" spans="1:7" x14ac:dyDescent="0.25">
      <c r="A543" t="s">
        <v>72</v>
      </c>
      <c r="B543" s="556">
        <v>2</v>
      </c>
      <c r="C543" t="s">
        <v>446</v>
      </c>
      <c r="D543" s="1079" t="s">
        <v>1552</v>
      </c>
      <c r="E543" s="556">
        <f ca="1">VLOOKUP(A543,Data!C:I,7,FALSE)</f>
        <v>0</v>
      </c>
      <c r="F543" s="636" t="str">
        <f t="shared" si="64"/>
        <v>ID.RA-52</v>
      </c>
      <c r="G543" s="636" t="str">
        <f t="shared" ca="1" si="65"/>
        <v>ID.RA-520</v>
      </c>
    </row>
    <row r="544" spans="1:7" x14ac:dyDescent="0.25">
      <c r="A544" t="s">
        <v>72</v>
      </c>
      <c r="B544" s="556">
        <v>2</v>
      </c>
      <c r="C544" t="s">
        <v>446</v>
      </c>
      <c r="D544" s="1079" t="s">
        <v>1567</v>
      </c>
      <c r="E544" s="556">
        <f ca="1">VLOOKUP(A544,Data!C:I,7,FALSE)</f>
        <v>0</v>
      </c>
      <c r="F544" s="636" t="str">
        <f t="shared" si="64"/>
        <v>ID.RM-12</v>
      </c>
      <c r="G544" s="636" t="str">
        <f t="shared" ca="1" si="65"/>
        <v>ID.RM-120</v>
      </c>
    </row>
    <row r="545" spans="1:7" x14ac:dyDescent="0.25">
      <c r="A545" t="s">
        <v>72</v>
      </c>
      <c r="B545" s="556">
        <v>2</v>
      </c>
      <c r="C545" t="s">
        <v>446</v>
      </c>
      <c r="D545" s="1079" t="s">
        <v>1604</v>
      </c>
      <c r="E545" s="556">
        <f ca="1">VLOOKUP(A545,Data!C:I,7,FALSE)</f>
        <v>0</v>
      </c>
      <c r="F545" s="636" t="str">
        <f t="shared" si="64"/>
        <v>ID.RM-22</v>
      </c>
      <c r="G545" s="636" t="str">
        <f t="shared" ca="1" si="65"/>
        <v>ID.RM-220</v>
      </c>
    </row>
    <row r="546" spans="1:7" x14ac:dyDescent="0.25">
      <c r="A546" t="s">
        <v>72</v>
      </c>
      <c r="B546" s="556">
        <v>2</v>
      </c>
      <c r="C546" t="s">
        <v>446</v>
      </c>
      <c r="D546" s="1079" t="s">
        <v>1733</v>
      </c>
      <c r="E546" s="556">
        <f ca="1">VLOOKUP(A546,Data!C:I,7,FALSE)</f>
        <v>0</v>
      </c>
      <c r="F546" s="636" t="str">
        <f t="shared" si="64"/>
        <v>ID.RM-32</v>
      </c>
      <c r="G546" s="636" t="str">
        <f t="shared" ca="1" si="65"/>
        <v>ID.RM-320</v>
      </c>
    </row>
    <row r="547" spans="1:7" x14ac:dyDescent="0.25">
      <c r="A547" t="s">
        <v>75</v>
      </c>
      <c r="B547" s="556">
        <v>2</v>
      </c>
      <c r="C547" t="s">
        <v>446</v>
      </c>
      <c r="D547" s="1079" t="s">
        <v>1613</v>
      </c>
      <c r="E547" s="556">
        <f ca="1">VLOOKUP(A547,Data!C:I,7,FALSE)</f>
        <v>0</v>
      </c>
      <c r="F547" s="636" t="str">
        <f t="shared" si="64"/>
        <v>ID.RA-42</v>
      </c>
      <c r="G547" s="636" t="str">
        <f t="shared" ca="1" si="65"/>
        <v>ID.RA-420</v>
      </c>
    </row>
    <row r="548" spans="1:7" x14ac:dyDescent="0.25">
      <c r="A548" t="s">
        <v>75</v>
      </c>
      <c r="B548" s="556">
        <v>2</v>
      </c>
      <c r="C548" t="s">
        <v>446</v>
      </c>
      <c r="D548" s="1079" t="s">
        <v>1552</v>
      </c>
      <c r="E548" s="556">
        <f ca="1">VLOOKUP(A548,Data!C:I,7,FALSE)</f>
        <v>0</v>
      </c>
      <c r="F548" s="636" t="str">
        <f t="shared" si="64"/>
        <v>ID.RA-52</v>
      </c>
      <c r="G548" s="636" t="str">
        <f t="shared" ca="1" si="65"/>
        <v>ID.RA-520</v>
      </c>
    </row>
    <row r="549" spans="1:7" x14ac:dyDescent="0.25">
      <c r="A549" t="s">
        <v>75</v>
      </c>
      <c r="B549" s="556">
        <v>2</v>
      </c>
      <c r="C549" t="s">
        <v>446</v>
      </c>
      <c r="D549" s="1079" t="s">
        <v>1567</v>
      </c>
      <c r="E549" s="556">
        <f ca="1">VLOOKUP(A549,Data!C:I,7,FALSE)</f>
        <v>0</v>
      </c>
      <c r="F549" s="636" t="str">
        <f t="shared" si="64"/>
        <v>ID.RM-12</v>
      </c>
      <c r="G549" s="636" t="str">
        <f t="shared" ca="1" si="65"/>
        <v>ID.RM-120</v>
      </c>
    </row>
    <row r="550" spans="1:7" x14ac:dyDescent="0.25">
      <c r="A550" t="s">
        <v>78</v>
      </c>
      <c r="B550" s="556">
        <v>2</v>
      </c>
      <c r="C550" t="s">
        <v>446</v>
      </c>
      <c r="D550" s="1079" t="s">
        <v>1613</v>
      </c>
      <c r="E550" s="556">
        <f ca="1">VLOOKUP(A550,Data!C:I,7,FALSE)</f>
        <v>0</v>
      </c>
      <c r="F550" s="636" t="str">
        <f t="shared" si="64"/>
        <v>ID.RA-42</v>
      </c>
      <c r="G550" s="636" t="str">
        <f t="shared" ca="1" si="65"/>
        <v>ID.RA-420</v>
      </c>
    </row>
    <row r="551" spans="1:7" x14ac:dyDescent="0.25">
      <c r="A551" t="s">
        <v>78</v>
      </c>
      <c r="B551" s="556">
        <v>2</v>
      </c>
      <c r="C551" t="s">
        <v>446</v>
      </c>
      <c r="D551" s="1079" t="s">
        <v>1552</v>
      </c>
      <c r="E551" s="556">
        <f ca="1">VLOOKUP(A551,Data!C:I,7,FALSE)</f>
        <v>0</v>
      </c>
      <c r="F551" s="636" t="str">
        <f t="shared" si="64"/>
        <v>ID.RA-52</v>
      </c>
      <c r="G551" s="636" t="str">
        <f t="shared" ca="1" si="65"/>
        <v>ID.RA-520</v>
      </c>
    </row>
    <row r="552" spans="1:7" x14ac:dyDescent="0.25">
      <c r="A552" t="s">
        <v>78</v>
      </c>
      <c r="B552" s="556">
        <v>2</v>
      </c>
      <c r="C552" t="s">
        <v>446</v>
      </c>
      <c r="D552" s="1079" t="s">
        <v>1567</v>
      </c>
      <c r="E552" s="556">
        <f ca="1">VLOOKUP(A552,Data!C:I,7,FALSE)</f>
        <v>0</v>
      </c>
      <c r="F552" s="636" t="str">
        <f t="shared" si="64"/>
        <v>ID.RM-12</v>
      </c>
      <c r="G552" s="636" t="str">
        <f t="shared" ca="1" si="65"/>
        <v>ID.RM-120</v>
      </c>
    </row>
    <row r="553" spans="1:7" x14ac:dyDescent="0.25">
      <c r="A553" t="s">
        <v>953</v>
      </c>
      <c r="B553" s="556">
        <v>1</v>
      </c>
      <c r="C553" t="s">
        <v>446</v>
      </c>
      <c r="D553" s="1079" t="s">
        <v>1566</v>
      </c>
      <c r="E553" s="556">
        <f ca="1">VLOOKUP(A553,Data!C:I,7,FALSE)</f>
        <v>0</v>
      </c>
      <c r="F553" s="636" t="str">
        <f t="shared" si="64"/>
        <v>ID.GV-41</v>
      </c>
      <c r="G553" s="636" t="str">
        <f t="shared" ca="1" si="65"/>
        <v>ID.GV-410</v>
      </c>
    </row>
    <row r="554" spans="1:7" x14ac:dyDescent="0.25">
      <c r="A554" t="s">
        <v>953</v>
      </c>
      <c r="B554" s="556">
        <v>1</v>
      </c>
      <c r="C554" t="s">
        <v>446</v>
      </c>
      <c r="D554" s="1079" t="s">
        <v>1602</v>
      </c>
      <c r="E554" s="556">
        <f ca="1">VLOOKUP(A554,Data!C:I,7,FALSE)</f>
        <v>0</v>
      </c>
      <c r="F554" s="636" t="str">
        <f t="shared" si="64"/>
        <v>ID.RA-61</v>
      </c>
      <c r="G554" s="636" t="str">
        <f t="shared" ca="1" si="65"/>
        <v>ID.RA-610</v>
      </c>
    </row>
    <row r="555" spans="1:7" x14ac:dyDescent="0.25">
      <c r="A555" t="s">
        <v>954</v>
      </c>
      <c r="B555" s="556">
        <v>2</v>
      </c>
      <c r="C555" t="s">
        <v>446</v>
      </c>
      <c r="D555" s="1079" t="s">
        <v>1602</v>
      </c>
      <c r="E555" s="556">
        <f ca="1">VLOOKUP(A555,Data!C:I,7,FALSE)</f>
        <v>0</v>
      </c>
      <c r="F555" s="636" t="str">
        <f t="shared" si="64"/>
        <v>ID.RA-62</v>
      </c>
      <c r="G555" s="636" t="str">
        <f t="shared" ca="1" si="65"/>
        <v>ID.RA-620</v>
      </c>
    </row>
    <row r="556" spans="1:7" x14ac:dyDescent="0.25">
      <c r="A556" t="s">
        <v>954</v>
      </c>
      <c r="B556" s="556">
        <v>2</v>
      </c>
      <c r="C556" t="s">
        <v>446</v>
      </c>
      <c r="D556" s="1079" t="s">
        <v>1567</v>
      </c>
      <c r="E556" s="556">
        <f ca="1">VLOOKUP(A556,Data!C:I,7,FALSE)</f>
        <v>0</v>
      </c>
      <c r="F556" s="636" t="str">
        <f t="shared" si="64"/>
        <v>ID.RM-12</v>
      </c>
      <c r="G556" s="636" t="str">
        <f t="shared" ca="1" si="65"/>
        <v>ID.RM-120</v>
      </c>
    </row>
    <row r="557" spans="1:7" x14ac:dyDescent="0.25">
      <c r="A557" t="s">
        <v>955</v>
      </c>
      <c r="B557" s="556">
        <v>3</v>
      </c>
      <c r="C557" t="s">
        <v>1501</v>
      </c>
      <c r="D557" s="1075" t="s">
        <v>1781</v>
      </c>
      <c r="E557" s="556">
        <f ca="1">VLOOKUP(A557,Data!C:I,7,FALSE)</f>
        <v>0</v>
      </c>
      <c r="F557" s="636" t="str">
        <f t="shared" si="64"/>
        <v>PR.IP-73</v>
      </c>
      <c r="G557" s="636" t="str">
        <f t="shared" ca="1" si="65"/>
        <v>PR.IP-730</v>
      </c>
    </row>
    <row r="558" spans="1:7" x14ac:dyDescent="0.25">
      <c r="A558" t="s">
        <v>955</v>
      </c>
      <c r="B558" s="556">
        <v>3</v>
      </c>
      <c r="C558" t="s">
        <v>1502</v>
      </c>
      <c r="D558" s="1076" t="s">
        <v>1588</v>
      </c>
      <c r="E558" s="556">
        <f ca="1">VLOOKUP(A558,Data!C:I,7,FALSE)</f>
        <v>0</v>
      </c>
      <c r="F558" s="636" t="str">
        <f t="shared" si="64"/>
        <v>DE.DP-33</v>
      </c>
      <c r="G558" s="636" t="str">
        <f t="shared" ca="1" si="65"/>
        <v>DE.DP-330</v>
      </c>
    </row>
    <row r="559" spans="1:7" x14ac:dyDescent="0.25">
      <c r="A559" t="s">
        <v>956</v>
      </c>
      <c r="B559" s="556">
        <v>3</v>
      </c>
      <c r="C559" t="s">
        <v>1501</v>
      </c>
      <c r="D559" s="1075" t="s">
        <v>1781</v>
      </c>
      <c r="E559" s="556">
        <f ca="1">VLOOKUP(A559,Data!C:I,7,FALSE)</f>
        <v>0</v>
      </c>
      <c r="F559" s="636" t="str">
        <f t="shared" si="64"/>
        <v>PR.IP-73</v>
      </c>
      <c r="G559" s="636" t="str">
        <f t="shared" ca="1" si="65"/>
        <v>PR.IP-730</v>
      </c>
    </row>
    <row r="560" spans="1:7" x14ac:dyDescent="0.25">
      <c r="A560" t="s">
        <v>956</v>
      </c>
      <c r="B560" s="556">
        <v>3</v>
      </c>
      <c r="C560" t="s">
        <v>1501</v>
      </c>
      <c r="D560" s="1075" t="s">
        <v>1531</v>
      </c>
      <c r="E560" s="556">
        <f ca="1">VLOOKUP(A560,Data!C:I,7,FALSE)</f>
        <v>0</v>
      </c>
      <c r="F560" s="636" t="str">
        <f t="shared" si="64"/>
        <v>PR.IP-83</v>
      </c>
      <c r="G560" s="636" t="str">
        <f t="shared" ca="1" si="65"/>
        <v>PR.IP-830</v>
      </c>
    </row>
    <row r="561" spans="1:7" x14ac:dyDescent="0.25">
      <c r="A561" t="s">
        <v>956</v>
      </c>
      <c r="B561" s="556">
        <v>3</v>
      </c>
      <c r="C561" t="s">
        <v>1503</v>
      </c>
      <c r="D561" s="1080" t="s">
        <v>1587</v>
      </c>
      <c r="E561" s="556">
        <f ca="1">VLOOKUP(A561,Data!C:I,7,FALSE)</f>
        <v>0</v>
      </c>
      <c r="F561" s="636" t="str">
        <f t="shared" si="64"/>
        <v>RS.AN-23</v>
      </c>
      <c r="G561" s="636" t="str">
        <f t="shared" ca="1" si="65"/>
        <v>RS.AN-230</v>
      </c>
    </row>
    <row r="562" spans="1:7" x14ac:dyDescent="0.25">
      <c r="A562" t="s">
        <v>957</v>
      </c>
      <c r="B562" s="556">
        <v>3</v>
      </c>
      <c r="C562" t="s">
        <v>1501</v>
      </c>
      <c r="D562" s="1075" t="s">
        <v>1781</v>
      </c>
      <c r="E562" s="556">
        <f ca="1">VLOOKUP(A562,Data!C:I,7,FALSE)</f>
        <v>0</v>
      </c>
      <c r="F562" s="636" t="str">
        <f t="shared" si="64"/>
        <v>PR.IP-73</v>
      </c>
      <c r="G562" s="636" t="str">
        <f t="shared" ca="1" si="65"/>
        <v>PR.IP-730</v>
      </c>
    </row>
    <row r="563" spans="1:7" x14ac:dyDescent="0.25">
      <c r="A563" t="s">
        <v>958</v>
      </c>
      <c r="B563" s="556">
        <v>2</v>
      </c>
      <c r="C563" t="s">
        <v>446</v>
      </c>
      <c r="D563" s="1079" t="s">
        <v>1567</v>
      </c>
      <c r="E563" s="556">
        <f ca="1">VLOOKUP(A563,Data!C:I,7,FALSE)</f>
        <v>0</v>
      </c>
      <c r="F563" s="636" t="str">
        <f t="shared" si="64"/>
        <v>ID.RM-12</v>
      </c>
      <c r="G563" s="636" t="str">
        <f t="shared" ca="1" si="65"/>
        <v>ID.RM-120</v>
      </c>
    </row>
    <row r="564" spans="1:7" x14ac:dyDescent="0.25">
      <c r="A564" t="s">
        <v>958</v>
      </c>
      <c r="B564" s="556">
        <v>2</v>
      </c>
      <c r="C564" t="s">
        <v>446</v>
      </c>
      <c r="D564" s="1079" t="s">
        <v>1563</v>
      </c>
      <c r="E564" s="556">
        <f ca="1">VLOOKUP(A564,Data!C:I,7,FALSE)</f>
        <v>0</v>
      </c>
      <c r="F564" s="636" t="str">
        <f t="shared" si="64"/>
        <v>ID.SC-12</v>
      </c>
      <c r="G564" s="636" t="str">
        <f t="shared" ca="1" si="65"/>
        <v>ID.SC-120</v>
      </c>
    </row>
    <row r="565" spans="1:7" x14ac:dyDescent="0.25">
      <c r="A565" t="s">
        <v>960</v>
      </c>
      <c r="B565" s="556">
        <v>3</v>
      </c>
      <c r="C565" t="s">
        <v>446</v>
      </c>
      <c r="D565" s="1079" t="s">
        <v>1562</v>
      </c>
      <c r="E565" s="556">
        <f ca="1">VLOOKUP(A565,Data!C:I,7,FALSE)</f>
        <v>0</v>
      </c>
      <c r="F565" s="636" t="str">
        <f t="shared" si="64"/>
        <v>ID.GV-13</v>
      </c>
      <c r="G565" s="636" t="str">
        <f t="shared" ca="1" si="65"/>
        <v>ID.GV-130</v>
      </c>
    </row>
    <row r="566" spans="1:7" x14ac:dyDescent="0.25">
      <c r="A566" t="s">
        <v>960</v>
      </c>
      <c r="B566" s="556">
        <v>3</v>
      </c>
      <c r="C566" t="s">
        <v>446</v>
      </c>
      <c r="D566" s="1079" t="s">
        <v>1576</v>
      </c>
      <c r="E566" s="556">
        <f ca="1">VLOOKUP(A566,Data!C:I,7,FALSE)</f>
        <v>0</v>
      </c>
      <c r="F566" s="636" t="str">
        <f t="shared" si="64"/>
        <v>ID.GV-33</v>
      </c>
      <c r="G566" s="636" t="str">
        <f t="shared" ca="1" si="65"/>
        <v>ID.GV-330</v>
      </c>
    </row>
    <row r="567" spans="1:7" x14ac:dyDescent="0.25">
      <c r="A567" t="s">
        <v>960</v>
      </c>
      <c r="B567" s="556">
        <v>3</v>
      </c>
      <c r="C567" t="s">
        <v>446</v>
      </c>
      <c r="D567" s="1079" t="s">
        <v>1566</v>
      </c>
      <c r="E567" s="556">
        <f ca="1">VLOOKUP(A567,Data!C:I,7,FALSE)</f>
        <v>0</v>
      </c>
      <c r="F567" s="636" t="str">
        <f t="shared" si="64"/>
        <v>ID.GV-43</v>
      </c>
      <c r="G567" s="636" t="str">
        <f t="shared" ca="1" si="65"/>
        <v>ID.GV-430</v>
      </c>
    </row>
    <row r="568" spans="1:7" x14ac:dyDescent="0.25">
      <c r="A568" t="s">
        <v>960</v>
      </c>
      <c r="B568" s="556">
        <v>3</v>
      </c>
      <c r="C568" t="s">
        <v>446</v>
      </c>
      <c r="D568" s="1079" t="s">
        <v>1567</v>
      </c>
      <c r="E568" s="556">
        <f ca="1">VLOOKUP(A568,Data!C:I,7,FALSE)</f>
        <v>0</v>
      </c>
      <c r="F568" s="636" t="str">
        <f t="shared" si="64"/>
        <v>ID.RM-13</v>
      </c>
      <c r="G568" s="636" t="str">
        <f t="shared" ca="1" si="65"/>
        <v>ID.RM-130</v>
      </c>
    </row>
    <row r="569" spans="1:7" x14ac:dyDescent="0.25">
      <c r="A569" t="s">
        <v>961</v>
      </c>
      <c r="B569" s="556">
        <v>3</v>
      </c>
      <c r="C569" t="s">
        <v>446</v>
      </c>
      <c r="D569" s="1079" t="s">
        <v>1529</v>
      </c>
      <c r="E569" s="556">
        <f ca="1">VLOOKUP(A569,Data!C:I,7,FALSE)</f>
        <v>0</v>
      </c>
      <c r="F569" s="636" t="str">
        <f t="shared" si="64"/>
        <v>ID.AM-63</v>
      </c>
      <c r="G569" s="636" t="str">
        <f t="shared" ca="1" si="65"/>
        <v>ID.AM-630</v>
      </c>
    </row>
    <row r="570" spans="1:7" x14ac:dyDescent="0.25">
      <c r="A570" t="s">
        <v>961</v>
      </c>
      <c r="B570" s="556">
        <v>3</v>
      </c>
      <c r="C570" t="s">
        <v>446</v>
      </c>
      <c r="D570" s="1079" t="s">
        <v>1562</v>
      </c>
      <c r="E570" s="556">
        <f ca="1">VLOOKUP(A570,Data!C:I,7,FALSE)</f>
        <v>0</v>
      </c>
      <c r="F570" s="636" t="str">
        <f t="shared" si="64"/>
        <v>ID.GV-13</v>
      </c>
      <c r="G570" s="636" t="str">
        <f t="shared" ca="1" si="65"/>
        <v>ID.GV-130</v>
      </c>
    </row>
    <row r="571" spans="1:7" x14ac:dyDescent="0.25">
      <c r="A571" t="s">
        <v>961</v>
      </c>
      <c r="B571" s="556">
        <v>3</v>
      </c>
      <c r="C571" t="s">
        <v>446</v>
      </c>
      <c r="D571" s="1079" t="s">
        <v>1530</v>
      </c>
      <c r="E571" s="556">
        <f ca="1">VLOOKUP(A571,Data!C:I,7,FALSE)</f>
        <v>0</v>
      </c>
      <c r="F571" s="636" t="str">
        <f t="shared" si="64"/>
        <v>ID.GV-23</v>
      </c>
      <c r="G571" s="636" t="str">
        <f t="shared" ca="1" si="65"/>
        <v>ID.GV-230</v>
      </c>
    </row>
    <row r="572" spans="1:7" x14ac:dyDescent="0.25">
      <c r="A572" t="s">
        <v>961</v>
      </c>
      <c r="B572" s="556">
        <v>3</v>
      </c>
      <c r="C572" t="s">
        <v>446</v>
      </c>
      <c r="D572" s="1079" t="s">
        <v>1576</v>
      </c>
      <c r="E572" s="556">
        <f ca="1">VLOOKUP(A572,Data!C:I,7,FALSE)</f>
        <v>0</v>
      </c>
      <c r="F572" s="636" t="str">
        <f t="shared" si="64"/>
        <v>ID.GV-33</v>
      </c>
      <c r="G572" s="636" t="str">
        <f t="shared" ca="1" si="65"/>
        <v>ID.GV-330</v>
      </c>
    </row>
    <row r="573" spans="1:7" x14ac:dyDescent="0.25">
      <c r="A573" t="s">
        <v>961</v>
      </c>
      <c r="B573" s="556">
        <v>3</v>
      </c>
      <c r="C573" t="s">
        <v>1501</v>
      </c>
      <c r="D573" s="1075" t="s">
        <v>1615</v>
      </c>
      <c r="E573" s="556">
        <f ca="1">VLOOKUP(A573,Data!C:I,7,FALSE)</f>
        <v>0</v>
      </c>
      <c r="F573" s="636" t="str">
        <f t="shared" si="64"/>
        <v>PR.AT-23</v>
      </c>
      <c r="G573" s="636" t="str">
        <f t="shared" ca="1" si="65"/>
        <v>PR.AT-230</v>
      </c>
    </row>
    <row r="574" spans="1:7" x14ac:dyDescent="0.25">
      <c r="A574" t="s">
        <v>961</v>
      </c>
      <c r="B574" s="556">
        <v>3</v>
      </c>
      <c r="C574" t="s">
        <v>1501</v>
      </c>
      <c r="D574" s="1075" t="s">
        <v>1616</v>
      </c>
      <c r="E574" s="556">
        <f ca="1">VLOOKUP(A574,Data!C:I,7,FALSE)</f>
        <v>0</v>
      </c>
      <c r="F574" s="636" t="str">
        <f t="shared" si="64"/>
        <v>PR.AT-33</v>
      </c>
      <c r="G574" s="636" t="str">
        <f t="shared" ca="1" si="65"/>
        <v>PR.AT-330</v>
      </c>
    </row>
    <row r="575" spans="1:7" x14ac:dyDescent="0.25">
      <c r="A575" t="s">
        <v>961</v>
      </c>
      <c r="B575" s="556">
        <v>3</v>
      </c>
      <c r="C575" t="s">
        <v>1501</v>
      </c>
      <c r="D575" s="1075" t="s">
        <v>1565</v>
      </c>
      <c r="E575" s="556">
        <f ca="1">VLOOKUP(A575,Data!C:I,7,FALSE)</f>
        <v>0</v>
      </c>
      <c r="F575" s="636" t="str">
        <f t="shared" si="64"/>
        <v>PR.AT-43</v>
      </c>
      <c r="G575" s="636" t="str">
        <f t="shared" ca="1" si="65"/>
        <v>PR.AT-430</v>
      </c>
    </row>
    <row r="576" spans="1:7" x14ac:dyDescent="0.25">
      <c r="A576" t="s">
        <v>961</v>
      </c>
      <c r="B576" s="556">
        <v>3</v>
      </c>
      <c r="C576" t="s">
        <v>1501</v>
      </c>
      <c r="D576" s="1075" t="s">
        <v>1617</v>
      </c>
      <c r="E576" s="556">
        <f ca="1">VLOOKUP(A576,Data!C:I,7,FALSE)</f>
        <v>0</v>
      </c>
      <c r="F576" s="636" t="str">
        <f t="shared" si="64"/>
        <v>PR.AT-53</v>
      </c>
      <c r="G576" s="636" t="str">
        <f t="shared" ca="1" si="65"/>
        <v>PR.AT-530</v>
      </c>
    </row>
    <row r="577" spans="1:7" x14ac:dyDescent="0.25">
      <c r="A577" t="s">
        <v>962</v>
      </c>
      <c r="B577" s="556">
        <v>3</v>
      </c>
      <c r="C577" t="s">
        <v>1501</v>
      </c>
      <c r="D577" s="1075" t="s">
        <v>1619</v>
      </c>
      <c r="E577" s="556">
        <f ca="1">VLOOKUP(A577,Data!C:I,7,FALSE)</f>
        <v>0</v>
      </c>
      <c r="F577" s="636" t="str">
        <f t="shared" si="64"/>
        <v>PR.AT-13</v>
      </c>
      <c r="G577" s="636" t="str">
        <f t="shared" ca="1" si="65"/>
        <v>PR.AT-130</v>
      </c>
    </row>
    <row r="578" spans="1:7" x14ac:dyDescent="0.25">
      <c r="A578" t="s">
        <v>963</v>
      </c>
      <c r="B578" s="556">
        <v>3</v>
      </c>
      <c r="C578" t="s">
        <v>1501</v>
      </c>
      <c r="D578" s="1075" t="s">
        <v>1781</v>
      </c>
      <c r="E578" s="556">
        <f ca="1">VLOOKUP(A578,Data!C:I,7,FALSE)</f>
        <v>0</v>
      </c>
      <c r="F578" s="636" t="str">
        <f t="shared" si="64"/>
        <v>PR.IP-73</v>
      </c>
      <c r="G578" s="636" t="str">
        <f t="shared" ca="1" si="65"/>
        <v>PR.IP-730</v>
      </c>
    </row>
    <row r="579" spans="1:7" x14ac:dyDescent="0.25">
      <c r="A579" t="s">
        <v>211</v>
      </c>
      <c r="B579" s="556">
        <v>1</v>
      </c>
      <c r="C579" t="s">
        <v>1501</v>
      </c>
      <c r="D579" s="1075" t="s">
        <v>1528</v>
      </c>
      <c r="E579" s="556">
        <f ca="1">VLOOKUP(A579,Data!C:I,7,FALSE)</f>
        <v>0</v>
      </c>
      <c r="F579" s="636" t="str">
        <f t="shared" ref="F579:F642" si="66">CONCATENATE($D579,$B579)</f>
        <v>PR.PT-11</v>
      </c>
      <c r="G579" s="636" t="str">
        <f t="shared" ref="G579:G642" ca="1" si="67">_xlfn.IFNA(CONCATENATE(F579,$E579),CONCATENATE(F579,$E579,0))</f>
        <v>PR.PT-110</v>
      </c>
    </row>
    <row r="580" spans="1:7" x14ac:dyDescent="0.25">
      <c r="A580" t="s">
        <v>211</v>
      </c>
      <c r="B580" s="556">
        <v>1</v>
      </c>
      <c r="C580" t="s">
        <v>1502</v>
      </c>
      <c r="D580" s="1076" t="s">
        <v>1537</v>
      </c>
      <c r="E580" s="556">
        <f ca="1">VLOOKUP(A580,Data!C:I,7,FALSE)</f>
        <v>0</v>
      </c>
      <c r="F580" s="636" t="str">
        <f t="shared" si="66"/>
        <v>DE.CM-11</v>
      </c>
      <c r="G580" s="636" t="str">
        <f t="shared" ca="1" si="67"/>
        <v>DE.CM-110</v>
      </c>
    </row>
    <row r="581" spans="1:7" x14ac:dyDescent="0.25">
      <c r="A581" t="s">
        <v>212</v>
      </c>
      <c r="B581" s="556">
        <v>2</v>
      </c>
      <c r="C581" t="s">
        <v>1501</v>
      </c>
      <c r="D581" s="1075" t="s">
        <v>1528</v>
      </c>
      <c r="E581" s="556">
        <f ca="1">VLOOKUP(A581,Data!C:I,7,FALSE)</f>
        <v>0</v>
      </c>
      <c r="F581" s="636" t="str">
        <f t="shared" si="66"/>
        <v>PR.PT-12</v>
      </c>
      <c r="G581" s="636" t="str">
        <f t="shared" ca="1" si="67"/>
        <v>PR.PT-120</v>
      </c>
    </row>
    <row r="582" spans="1:7" x14ac:dyDescent="0.25">
      <c r="A582" t="s">
        <v>213</v>
      </c>
      <c r="B582" s="556">
        <v>2</v>
      </c>
      <c r="C582" t="s">
        <v>1501</v>
      </c>
      <c r="D582" s="1075" t="s">
        <v>1528</v>
      </c>
      <c r="E582" s="556">
        <f ca="1">VLOOKUP(A582,Data!C:I,7,FALSE)</f>
        <v>0</v>
      </c>
      <c r="F582" s="636" t="str">
        <f t="shared" si="66"/>
        <v>PR.PT-12</v>
      </c>
      <c r="G582" s="636" t="str">
        <f t="shared" ca="1" si="67"/>
        <v>PR.PT-120</v>
      </c>
    </row>
    <row r="583" spans="1:7" x14ac:dyDescent="0.25">
      <c r="A583" t="s">
        <v>214</v>
      </c>
      <c r="B583" s="556">
        <v>2</v>
      </c>
      <c r="C583" t="s">
        <v>1501</v>
      </c>
      <c r="D583" s="1075" t="s">
        <v>1528</v>
      </c>
      <c r="E583" s="556">
        <f ca="1">VLOOKUP(A583,Data!C:I,7,FALSE)</f>
        <v>0</v>
      </c>
      <c r="F583" s="636" t="str">
        <f t="shared" si="66"/>
        <v>PR.PT-12</v>
      </c>
      <c r="G583" s="636" t="str">
        <f t="shared" ca="1" si="67"/>
        <v>PR.PT-120</v>
      </c>
    </row>
    <row r="584" spans="1:7" x14ac:dyDescent="0.25">
      <c r="A584" t="s">
        <v>973</v>
      </c>
      <c r="B584" s="556">
        <v>2</v>
      </c>
      <c r="C584" t="s">
        <v>1502</v>
      </c>
      <c r="D584" s="1076" t="s">
        <v>1577</v>
      </c>
      <c r="E584" s="556">
        <f ca="1">VLOOKUP(A584,Data!C:I,7,FALSE)</f>
        <v>0</v>
      </c>
      <c r="F584" s="636" t="str">
        <f t="shared" si="66"/>
        <v>DE.AE-32</v>
      </c>
      <c r="G584" s="636" t="str">
        <f t="shared" ca="1" si="67"/>
        <v>DE.AE-320</v>
      </c>
    </row>
    <row r="585" spans="1:7" x14ac:dyDescent="0.25">
      <c r="A585" t="s">
        <v>2618</v>
      </c>
      <c r="B585" s="556">
        <v>3</v>
      </c>
      <c r="C585" t="s">
        <v>1501</v>
      </c>
      <c r="D585" s="1075" t="s">
        <v>1528</v>
      </c>
      <c r="E585" s="556">
        <f ca="1">VLOOKUP(A585,Data!C:I,7,FALSE)</f>
        <v>0</v>
      </c>
      <c r="F585" s="636" t="str">
        <f t="shared" si="66"/>
        <v>PR.PT-13</v>
      </c>
      <c r="G585" s="636" t="str">
        <f t="shared" ca="1" si="67"/>
        <v>PR.PT-130</v>
      </c>
    </row>
    <row r="586" spans="1:7" x14ac:dyDescent="0.25">
      <c r="A586" t="s">
        <v>215</v>
      </c>
      <c r="B586" s="556">
        <v>1</v>
      </c>
      <c r="C586" t="s">
        <v>1501</v>
      </c>
      <c r="D586" s="1075" t="s">
        <v>1528</v>
      </c>
      <c r="E586" s="556">
        <f ca="1">VLOOKUP(A586,Data!C:I,7,FALSE)</f>
        <v>0</v>
      </c>
      <c r="F586" s="636" t="str">
        <f t="shared" si="66"/>
        <v>PR.PT-11</v>
      </c>
      <c r="G586" s="636" t="str">
        <f t="shared" ca="1" si="67"/>
        <v>PR.PT-110</v>
      </c>
    </row>
    <row r="587" spans="1:7" x14ac:dyDescent="0.25">
      <c r="A587" t="s">
        <v>215</v>
      </c>
      <c r="B587" s="556">
        <v>1</v>
      </c>
      <c r="C587" t="s">
        <v>1502</v>
      </c>
      <c r="D587" s="1076" t="s">
        <v>1537</v>
      </c>
      <c r="E587" s="556">
        <f ca="1">VLOOKUP(A587,Data!C:I,7,FALSE)</f>
        <v>0</v>
      </c>
      <c r="F587" s="636" t="str">
        <f t="shared" si="66"/>
        <v>DE.CM-11</v>
      </c>
      <c r="G587" s="636" t="str">
        <f t="shared" ca="1" si="67"/>
        <v>DE.CM-110</v>
      </c>
    </row>
    <row r="588" spans="1:7" x14ac:dyDescent="0.25">
      <c r="A588" t="s">
        <v>216</v>
      </c>
      <c r="B588" s="556">
        <v>1</v>
      </c>
      <c r="C588" t="s">
        <v>1501</v>
      </c>
      <c r="D588" s="1075" t="s">
        <v>1528</v>
      </c>
      <c r="E588" s="556">
        <f ca="1">VLOOKUP(A588,Data!C:I,7,FALSE)</f>
        <v>0</v>
      </c>
      <c r="F588" s="636" t="str">
        <f t="shared" si="66"/>
        <v>PR.PT-11</v>
      </c>
      <c r="G588" s="636" t="str">
        <f t="shared" ca="1" si="67"/>
        <v>PR.PT-110</v>
      </c>
    </row>
    <row r="589" spans="1:7" x14ac:dyDescent="0.25">
      <c r="A589" t="s">
        <v>216</v>
      </c>
      <c r="B589" s="556">
        <v>1</v>
      </c>
      <c r="C589" t="s">
        <v>1502</v>
      </c>
      <c r="D589" s="1076" t="s">
        <v>1577</v>
      </c>
      <c r="E589" s="556">
        <f ca="1">VLOOKUP(A589,Data!C:I,7,FALSE)</f>
        <v>0</v>
      </c>
      <c r="F589" s="636" t="str">
        <f t="shared" si="66"/>
        <v>DE.AE-31</v>
      </c>
      <c r="G589" s="636" t="str">
        <f t="shared" ca="1" si="67"/>
        <v>DE.AE-310</v>
      </c>
    </row>
    <row r="590" spans="1:7" x14ac:dyDescent="0.25">
      <c r="A590" t="s">
        <v>216</v>
      </c>
      <c r="B590" s="556">
        <v>1</v>
      </c>
      <c r="C590" t="s">
        <v>1502</v>
      </c>
      <c r="D590" s="1076" t="s">
        <v>1537</v>
      </c>
      <c r="E590" s="556">
        <f ca="1">VLOOKUP(A590,Data!C:I,7,FALSE)</f>
        <v>0</v>
      </c>
      <c r="F590" s="636" t="str">
        <f t="shared" si="66"/>
        <v>DE.CM-11</v>
      </c>
      <c r="G590" s="636" t="str">
        <f t="shared" ca="1" si="67"/>
        <v>DE.CM-110</v>
      </c>
    </row>
    <row r="591" spans="1:7" x14ac:dyDescent="0.25">
      <c r="A591" t="s">
        <v>216</v>
      </c>
      <c r="B591" s="556">
        <v>1</v>
      </c>
      <c r="C591" t="s">
        <v>1502</v>
      </c>
      <c r="D591" s="1076" t="s">
        <v>1527</v>
      </c>
      <c r="E591" s="556">
        <f ca="1">VLOOKUP(A591,Data!C:I,7,FALSE)</f>
        <v>0</v>
      </c>
      <c r="F591" s="636" t="str">
        <f t="shared" si="66"/>
        <v>DE.CM-21</v>
      </c>
      <c r="G591" s="636" t="str">
        <f t="shared" ca="1" si="67"/>
        <v>DE.CM-210</v>
      </c>
    </row>
    <row r="592" spans="1:7" x14ac:dyDescent="0.25">
      <c r="A592" t="s">
        <v>216</v>
      </c>
      <c r="B592" s="556">
        <v>1</v>
      </c>
      <c r="C592" t="s">
        <v>1502</v>
      </c>
      <c r="D592" s="1076" t="s">
        <v>1523</v>
      </c>
      <c r="E592" s="556">
        <f ca="1">VLOOKUP(A592,Data!C:I,7,FALSE)</f>
        <v>0</v>
      </c>
      <c r="F592" s="636" t="str">
        <f t="shared" si="66"/>
        <v>DE.CM-31</v>
      </c>
      <c r="G592" s="636" t="str">
        <f t="shared" ca="1" si="67"/>
        <v>DE.CM-310</v>
      </c>
    </row>
    <row r="593" spans="1:7" x14ac:dyDescent="0.25">
      <c r="A593" t="s">
        <v>216</v>
      </c>
      <c r="B593" s="556">
        <v>1</v>
      </c>
      <c r="C593" t="s">
        <v>1502</v>
      </c>
      <c r="D593" s="1076" t="s">
        <v>1541</v>
      </c>
      <c r="E593" s="556">
        <f ca="1">VLOOKUP(A593,Data!C:I,7,FALSE)</f>
        <v>0</v>
      </c>
      <c r="F593" s="636" t="str">
        <f t="shared" si="66"/>
        <v>DE.CM-41</v>
      </c>
      <c r="G593" s="636" t="str">
        <f t="shared" ca="1" si="67"/>
        <v>DE.CM-410</v>
      </c>
    </row>
    <row r="594" spans="1:7" x14ac:dyDescent="0.25">
      <c r="A594" t="s">
        <v>216</v>
      </c>
      <c r="B594" s="556">
        <v>1</v>
      </c>
      <c r="C594" t="s">
        <v>1502</v>
      </c>
      <c r="D594" s="1076" t="s">
        <v>1545</v>
      </c>
      <c r="E594" s="556">
        <f ca="1">VLOOKUP(A594,Data!C:I,7,FALSE)</f>
        <v>0</v>
      </c>
      <c r="F594" s="636" t="str">
        <f t="shared" si="66"/>
        <v>DE.CM-51</v>
      </c>
      <c r="G594" s="636" t="str">
        <f t="shared" ca="1" si="67"/>
        <v>DE.CM-510</v>
      </c>
    </row>
    <row r="595" spans="1:7" x14ac:dyDescent="0.25">
      <c r="A595" t="s">
        <v>216</v>
      </c>
      <c r="B595" s="556">
        <v>1</v>
      </c>
      <c r="C595" t="s">
        <v>1502</v>
      </c>
      <c r="D595" s="1076" t="s">
        <v>1524</v>
      </c>
      <c r="E595" s="556">
        <f ca="1">VLOOKUP(A595,Data!C:I,7,FALSE)</f>
        <v>0</v>
      </c>
      <c r="F595" s="636" t="str">
        <f t="shared" si="66"/>
        <v>DE.CM-61</v>
      </c>
      <c r="G595" s="636" t="str">
        <f t="shared" ca="1" si="67"/>
        <v>DE.CM-610</v>
      </c>
    </row>
    <row r="596" spans="1:7" x14ac:dyDescent="0.25">
      <c r="A596" t="s">
        <v>216</v>
      </c>
      <c r="B596" s="556">
        <v>1</v>
      </c>
      <c r="C596" t="s">
        <v>1502</v>
      </c>
      <c r="D596" s="1076" t="s">
        <v>1525</v>
      </c>
      <c r="E596" s="556">
        <f ca="1">VLOOKUP(A596,Data!C:I,7,FALSE)</f>
        <v>0</v>
      </c>
      <c r="F596" s="636" t="str">
        <f t="shared" si="66"/>
        <v>DE.CM-71</v>
      </c>
      <c r="G596" s="636" t="str">
        <f t="shared" ca="1" si="67"/>
        <v>DE.CM-710</v>
      </c>
    </row>
    <row r="597" spans="1:7" x14ac:dyDescent="0.25">
      <c r="A597" t="s">
        <v>216</v>
      </c>
      <c r="B597" s="556">
        <v>1</v>
      </c>
      <c r="C597" t="s">
        <v>1503</v>
      </c>
      <c r="D597" s="1083" t="s">
        <v>1581</v>
      </c>
      <c r="E597" s="556">
        <f ca="1">VLOOKUP(A597,Data!C:I,7,FALSE)</f>
        <v>0</v>
      </c>
      <c r="F597" s="636" t="str">
        <f t="shared" si="66"/>
        <v>RS.AN-11</v>
      </c>
      <c r="G597" s="636" t="str">
        <f t="shared" ca="1" si="67"/>
        <v>RS.AN-110</v>
      </c>
    </row>
    <row r="598" spans="1:7" x14ac:dyDescent="0.25">
      <c r="A598" t="s">
        <v>217</v>
      </c>
      <c r="B598" s="556">
        <v>2</v>
      </c>
      <c r="C598" t="s">
        <v>1502</v>
      </c>
      <c r="D598" s="1076" t="s">
        <v>1578</v>
      </c>
      <c r="E598" s="556">
        <f ca="1">VLOOKUP(A598,Data!C:I,7,FALSE)</f>
        <v>0</v>
      </c>
      <c r="F598" s="636" t="str">
        <f t="shared" si="66"/>
        <v>DE.DP-12</v>
      </c>
      <c r="G598" s="636" t="str">
        <f t="shared" ca="1" si="67"/>
        <v>DE.DP-120</v>
      </c>
    </row>
    <row r="599" spans="1:7" x14ac:dyDescent="0.25">
      <c r="A599" t="s">
        <v>217</v>
      </c>
      <c r="B599" s="556">
        <v>2</v>
      </c>
      <c r="C599" t="s">
        <v>1502</v>
      </c>
      <c r="D599" s="1076" t="s">
        <v>1580</v>
      </c>
      <c r="E599" s="556">
        <f ca="1">VLOOKUP(A599,Data!C:I,7,FALSE)</f>
        <v>0</v>
      </c>
      <c r="F599" s="636" t="str">
        <f t="shared" si="66"/>
        <v>DE.DP-22</v>
      </c>
      <c r="G599" s="636" t="str">
        <f t="shared" ca="1" si="67"/>
        <v>DE.DP-220</v>
      </c>
    </row>
    <row r="600" spans="1:7" x14ac:dyDescent="0.25">
      <c r="A600" t="s">
        <v>217</v>
      </c>
      <c r="B600" s="556">
        <v>2</v>
      </c>
      <c r="C600" t="s">
        <v>1502</v>
      </c>
      <c r="D600" s="1076" t="s">
        <v>1588</v>
      </c>
      <c r="E600" s="556">
        <f ca="1">VLOOKUP(A600,Data!C:I,7,FALSE)</f>
        <v>0</v>
      </c>
      <c r="F600" s="636" t="str">
        <f t="shared" si="66"/>
        <v>DE.DP-32</v>
      </c>
      <c r="G600" s="636" t="str">
        <f t="shared" ca="1" si="67"/>
        <v>DE.DP-320</v>
      </c>
    </row>
    <row r="601" spans="1:7" x14ac:dyDescent="0.25">
      <c r="A601" t="s">
        <v>217</v>
      </c>
      <c r="B601" s="556">
        <v>2</v>
      </c>
      <c r="C601" t="s">
        <v>1502</v>
      </c>
      <c r="D601" s="1076" t="s">
        <v>1583</v>
      </c>
      <c r="E601" s="556">
        <f ca="1">VLOOKUP(A601,Data!C:I,7,FALSE)</f>
        <v>0</v>
      </c>
      <c r="F601" s="636" t="str">
        <f t="shared" si="66"/>
        <v>DE.DP-52</v>
      </c>
      <c r="G601" s="636" t="str">
        <f t="shared" ca="1" si="67"/>
        <v>DE.DP-520</v>
      </c>
    </row>
    <row r="602" spans="1:7" x14ac:dyDescent="0.25">
      <c r="A602" t="s">
        <v>221</v>
      </c>
      <c r="B602" s="556">
        <v>3</v>
      </c>
      <c r="C602" t="s">
        <v>1502</v>
      </c>
      <c r="D602" s="1082" t="s">
        <v>1537</v>
      </c>
      <c r="E602" s="556">
        <f ca="1">VLOOKUP(A602,Data!C:I,7,FALSE)</f>
        <v>0</v>
      </c>
      <c r="F602" s="636" t="str">
        <f t="shared" si="66"/>
        <v>DE.CM-13</v>
      </c>
      <c r="G602" s="636" t="str">
        <f t="shared" ca="1" si="67"/>
        <v>DE.CM-130</v>
      </c>
    </row>
    <row r="603" spans="1:7" x14ac:dyDescent="0.25">
      <c r="A603" t="s">
        <v>221</v>
      </c>
      <c r="B603" s="556">
        <v>3</v>
      </c>
      <c r="C603" t="s">
        <v>1502</v>
      </c>
      <c r="D603" s="1082" t="s">
        <v>1527</v>
      </c>
      <c r="E603" s="556">
        <f ca="1">VLOOKUP(A603,Data!C:I,7,FALSE)</f>
        <v>0</v>
      </c>
      <c r="F603" s="636" t="str">
        <f t="shared" si="66"/>
        <v>DE.CM-23</v>
      </c>
      <c r="G603" s="636" t="str">
        <f t="shared" ca="1" si="67"/>
        <v>DE.CM-230</v>
      </c>
    </row>
    <row r="604" spans="1:7" x14ac:dyDescent="0.25">
      <c r="A604" t="s">
        <v>221</v>
      </c>
      <c r="B604" s="556">
        <v>3</v>
      </c>
      <c r="C604" t="s">
        <v>1502</v>
      </c>
      <c r="D604" s="1076" t="s">
        <v>1524</v>
      </c>
      <c r="E604" s="556">
        <f ca="1">VLOOKUP(A604,Data!C:I,7,FALSE)</f>
        <v>0</v>
      </c>
      <c r="F604" s="636" t="str">
        <f t="shared" si="66"/>
        <v>DE.CM-63</v>
      </c>
      <c r="G604" s="636" t="str">
        <f t="shared" ca="1" si="67"/>
        <v>DE.CM-630</v>
      </c>
    </row>
    <row r="605" spans="1:7" x14ac:dyDescent="0.25">
      <c r="A605" t="s">
        <v>221</v>
      </c>
      <c r="B605" s="556">
        <v>3</v>
      </c>
      <c r="C605" t="s">
        <v>1502</v>
      </c>
      <c r="D605" s="1076" t="s">
        <v>1525</v>
      </c>
      <c r="E605" s="556">
        <f ca="1">VLOOKUP(A605,Data!C:I,7,FALSE)</f>
        <v>0</v>
      </c>
      <c r="F605" s="636" t="str">
        <f t="shared" si="66"/>
        <v>DE.CM-73</v>
      </c>
      <c r="G605" s="636" t="str">
        <f t="shared" ca="1" si="67"/>
        <v>DE.CM-730</v>
      </c>
    </row>
    <row r="606" spans="1:7" x14ac:dyDescent="0.25">
      <c r="A606" t="s">
        <v>223</v>
      </c>
      <c r="B606" s="556">
        <v>3</v>
      </c>
      <c r="C606" t="s">
        <v>1502</v>
      </c>
      <c r="D606" s="1076" t="s">
        <v>1605</v>
      </c>
      <c r="E606" s="556">
        <f ca="1">VLOOKUP(A606,Data!C:I,7,FALSE)</f>
        <v>0</v>
      </c>
      <c r="F606" s="636" t="str">
        <f t="shared" si="66"/>
        <v>DE.AE-13</v>
      </c>
      <c r="G606" s="636" t="str">
        <f t="shared" ca="1" si="67"/>
        <v>DE.AE-130</v>
      </c>
    </row>
    <row r="607" spans="1:7" x14ac:dyDescent="0.25">
      <c r="A607" t="s">
        <v>223</v>
      </c>
      <c r="B607" s="556">
        <v>3</v>
      </c>
      <c r="C607" t="s">
        <v>1502</v>
      </c>
      <c r="D607" s="1076" t="s">
        <v>1588</v>
      </c>
      <c r="E607" s="556">
        <f ca="1">VLOOKUP(A607,Data!C:I,7,FALSE)</f>
        <v>0</v>
      </c>
      <c r="F607" s="636" t="str">
        <f t="shared" si="66"/>
        <v>DE.DP-33</v>
      </c>
      <c r="G607" s="636" t="str">
        <f t="shared" ca="1" si="67"/>
        <v>DE.DP-330</v>
      </c>
    </row>
    <row r="608" spans="1:7" x14ac:dyDescent="0.25">
      <c r="A608" t="s">
        <v>225</v>
      </c>
      <c r="B608" s="556">
        <v>2</v>
      </c>
      <c r="C608" t="s">
        <v>1503</v>
      </c>
      <c r="D608" s="1080" t="s">
        <v>1575</v>
      </c>
      <c r="E608" s="556">
        <f ca="1">VLOOKUP(A608,Data!C:I,7,FALSE)</f>
        <v>0</v>
      </c>
      <c r="F608" s="636" t="str">
        <f t="shared" si="66"/>
        <v>RS.CO-32</v>
      </c>
      <c r="G608" s="636" t="str">
        <f t="shared" ca="1" si="67"/>
        <v>RS.CO-320</v>
      </c>
    </row>
    <row r="609" spans="1:7" x14ac:dyDescent="0.25">
      <c r="A609" t="s">
        <v>226</v>
      </c>
      <c r="B609" s="556">
        <v>2</v>
      </c>
      <c r="C609" t="s">
        <v>1502</v>
      </c>
      <c r="D609" s="1076" t="s">
        <v>1577</v>
      </c>
      <c r="E609" s="556">
        <f ca="1">VLOOKUP(A609,Data!C:I,7,FALSE)</f>
        <v>0</v>
      </c>
      <c r="F609" s="636" t="str">
        <f t="shared" si="66"/>
        <v>DE.AE-32</v>
      </c>
      <c r="G609" s="636" t="str">
        <f t="shared" ca="1" si="67"/>
        <v>DE.AE-320</v>
      </c>
    </row>
    <row r="610" spans="1:7" x14ac:dyDescent="0.25">
      <c r="A610" t="s">
        <v>227</v>
      </c>
      <c r="B610" s="556">
        <v>2</v>
      </c>
      <c r="C610" t="s">
        <v>1502</v>
      </c>
      <c r="D610" s="1076" t="s">
        <v>1577</v>
      </c>
      <c r="E610" s="556">
        <f ca="1">VLOOKUP(A610,Data!C:I,7,FALSE)</f>
        <v>0</v>
      </c>
      <c r="F610" s="636" t="str">
        <f t="shared" si="66"/>
        <v>DE.AE-32</v>
      </c>
      <c r="G610" s="636" t="str">
        <f t="shared" ca="1" si="67"/>
        <v>DE.AE-320</v>
      </c>
    </row>
    <row r="611" spans="1:7" x14ac:dyDescent="0.25">
      <c r="A611" t="s">
        <v>227</v>
      </c>
      <c r="B611" s="556">
        <v>2</v>
      </c>
      <c r="C611" t="s">
        <v>1503</v>
      </c>
      <c r="D611" s="1080" t="s">
        <v>1575</v>
      </c>
      <c r="E611" s="556">
        <f ca="1">VLOOKUP(A611,Data!C:I,7,FALSE)</f>
        <v>0</v>
      </c>
      <c r="F611" s="636" t="str">
        <f t="shared" si="66"/>
        <v>RS.CO-32</v>
      </c>
      <c r="G611" s="636" t="str">
        <f t="shared" ca="1" si="67"/>
        <v>RS.CO-320</v>
      </c>
    </row>
    <row r="612" spans="1:7" x14ac:dyDescent="0.25">
      <c r="A612" t="s">
        <v>227</v>
      </c>
      <c r="B612" s="556">
        <v>2</v>
      </c>
      <c r="C612" t="s">
        <v>1503</v>
      </c>
      <c r="D612" s="1080" t="s">
        <v>1606</v>
      </c>
      <c r="E612" s="556">
        <f ca="1">VLOOKUP(A612,Data!C:I,7,FALSE)</f>
        <v>0</v>
      </c>
      <c r="F612" s="636" t="str">
        <f t="shared" si="66"/>
        <v>RS.CO-52</v>
      </c>
      <c r="G612" s="636" t="str">
        <f t="shared" ca="1" si="67"/>
        <v>RS.CO-520</v>
      </c>
    </row>
    <row r="613" spans="1:7" x14ac:dyDescent="0.25">
      <c r="A613" t="s">
        <v>228</v>
      </c>
      <c r="B613" s="556">
        <v>3</v>
      </c>
      <c r="C613" t="s">
        <v>1502</v>
      </c>
      <c r="D613" s="1076" t="s">
        <v>1584</v>
      </c>
      <c r="E613" s="556">
        <f ca="1">VLOOKUP(A613,Data!C:I,7,FALSE)</f>
        <v>0</v>
      </c>
      <c r="F613" s="636" t="str">
        <f t="shared" si="66"/>
        <v>DE.AE-53</v>
      </c>
      <c r="G613" s="636" t="str">
        <f t="shared" ca="1" si="67"/>
        <v>DE.AE-530</v>
      </c>
    </row>
    <row r="614" spans="1:7" x14ac:dyDescent="0.25">
      <c r="A614" t="s">
        <v>228</v>
      </c>
      <c r="B614" s="556">
        <v>3</v>
      </c>
      <c r="C614" t="s">
        <v>1502</v>
      </c>
      <c r="D614" s="1076" t="s">
        <v>1579</v>
      </c>
      <c r="E614" s="556">
        <f ca="1">VLOOKUP(A614,Data!C:I,7,FALSE)</f>
        <v>0</v>
      </c>
      <c r="F614" s="636" t="str">
        <f t="shared" si="66"/>
        <v>DE.DP-43</v>
      </c>
      <c r="G614" s="636" t="str">
        <f t="shared" ca="1" si="67"/>
        <v>DE.DP-430</v>
      </c>
    </row>
    <row r="615" spans="1:7" x14ac:dyDescent="0.25">
      <c r="A615" t="s">
        <v>228</v>
      </c>
      <c r="B615" s="556">
        <v>3</v>
      </c>
      <c r="C615" t="s">
        <v>1503</v>
      </c>
      <c r="D615" s="1080" t="s">
        <v>1574</v>
      </c>
      <c r="E615" s="556">
        <f ca="1">VLOOKUP(A615,Data!C:I,7,FALSE)</f>
        <v>0</v>
      </c>
      <c r="F615" s="636" t="str">
        <f t="shared" si="66"/>
        <v>RS.CO-23</v>
      </c>
      <c r="G615" s="636" t="str">
        <f t="shared" ca="1" si="67"/>
        <v>RS.CO-230</v>
      </c>
    </row>
    <row r="616" spans="1:7" x14ac:dyDescent="0.25">
      <c r="A616" t="s">
        <v>228</v>
      </c>
      <c r="B616" s="556">
        <v>3</v>
      </c>
      <c r="C616" t="s">
        <v>1503</v>
      </c>
      <c r="D616" s="1080" t="s">
        <v>1575</v>
      </c>
      <c r="E616" s="556">
        <f ca="1">VLOOKUP(A616,Data!C:I,7,FALSE)</f>
        <v>0</v>
      </c>
      <c r="F616" s="636" t="str">
        <f t="shared" si="66"/>
        <v>RS.CO-33</v>
      </c>
      <c r="G616" s="636" t="str">
        <f t="shared" ca="1" si="67"/>
        <v>RS.CO-330</v>
      </c>
    </row>
    <row r="617" spans="1:7" x14ac:dyDescent="0.25">
      <c r="A617" t="s">
        <v>228</v>
      </c>
      <c r="B617" s="556">
        <v>3</v>
      </c>
      <c r="C617" t="s">
        <v>1503</v>
      </c>
      <c r="D617" s="1080" t="s">
        <v>1573</v>
      </c>
      <c r="E617" s="556">
        <f ca="1">VLOOKUP(A617,Data!C:I,7,FALSE)</f>
        <v>0</v>
      </c>
      <c r="F617" s="636" t="str">
        <f t="shared" si="66"/>
        <v>RS.CO-43</v>
      </c>
      <c r="G617" s="636" t="str">
        <f t="shared" ca="1" si="67"/>
        <v>RS.CO-430</v>
      </c>
    </row>
    <row r="618" spans="1:7" x14ac:dyDescent="0.25">
      <c r="A618" t="s">
        <v>228</v>
      </c>
      <c r="B618" s="556">
        <v>3</v>
      </c>
      <c r="C618" t="s">
        <v>1503</v>
      </c>
      <c r="D618" s="1080" t="s">
        <v>1606</v>
      </c>
      <c r="E618" s="556">
        <f ca="1">VLOOKUP(A618,Data!C:I,7,FALSE)</f>
        <v>0</v>
      </c>
      <c r="F618" s="636" t="str">
        <f t="shared" si="66"/>
        <v>RS.CO-53</v>
      </c>
      <c r="G618" s="636" t="str">
        <f t="shared" ca="1" si="67"/>
        <v>RS.CO-530</v>
      </c>
    </row>
    <row r="619" spans="1:7" x14ac:dyDescent="0.25">
      <c r="A619" t="s">
        <v>228</v>
      </c>
      <c r="B619" s="556">
        <v>3</v>
      </c>
      <c r="C619" t="s">
        <v>1504</v>
      </c>
      <c r="D619" s="1084" t="s">
        <v>1589</v>
      </c>
      <c r="E619" s="556">
        <f ca="1">VLOOKUP(A619,Data!C:I,7,FALSE)</f>
        <v>0</v>
      </c>
      <c r="F619" s="636" t="str">
        <f t="shared" si="66"/>
        <v>RC.CO-33</v>
      </c>
      <c r="G619" s="636" t="str">
        <f t="shared" ca="1" si="67"/>
        <v>RC.CO-330</v>
      </c>
    </row>
    <row r="620" spans="1:7" x14ac:dyDescent="0.25">
      <c r="A620" t="s">
        <v>229</v>
      </c>
      <c r="B620" s="556">
        <v>3</v>
      </c>
      <c r="C620" t="s">
        <v>446</v>
      </c>
      <c r="D620" s="1079" t="s">
        <v>1610</v>
      </c>
      <c r="E620" s="556">
        <f ca="1">VLOOKUP(A620,Data!C:I,7,FALSE)</f>
        <v>0</v>
      </c>
      <c r="F620" s="636" t="str">
        <f t="shared" si="66"/>
        <v>ID.RA-23</v>
      </c>
      <c r="G620" s="636" t="str">
        <f t="shared" ca="1" si="67"/>
        <v>ID.RA-230</v>
      </c>
    </row>
    <row r="621" spans="1:7" x14ac:dyDescent="0.25">
      <c r="A621" t="s">
        <v>229</v>
      </c>
      <c r="B621" s="556">
        <v>3</v>
      </c>
      <c r="C621" t="s">
        <v>446</v>
      </c>
      <c r="D621" s="1079" t="s">
        <v>1612</v>
      </c>
      <c r="E621" s="556">
        <f ca="1">VLOOKUP(A621,Data!C:I,7,FALSE)</f>
        <v>0</v>
      </c>
      <c r="F621" s="636" t="str">
        <f t="shared" si="66"/>
        <v>ID.RA-33</v>
      </c>
      <c r="G621" s="636" t="str">
        <f t="shared" ca="1" si="67"/>
        <v>ID.RA-330</v>
      </c>
    </row>
    <row r="622" spans="1:7" x14ac:dyDescent="0.25">
      <c r="A622" t="s">
        <v>229</v>
      </c>
      <c r="B622" s="556">
        <v>3</v>
      </c>
      <c r="C622" t="s">
        <v>1503</v>
      </c>
      <c r="D622" s="1078" t="s">
        <v>1606</v>
      </c>
      <c r="E622" s="556">
        <f ca="1">VLOOKUP(A622,Data!C:I,7,FALSE)</f>
        <v>0</v>
      </c>
      <c r="F622" s="636" t="str">
        <f t="shared" si="66"/>
        <v>RS.CO-53</v>
      </c>
      <c r="G622" s="636" t="str">
        <f t="shared" ca="1" si="67"/>
        <v>RS.CO-530</v>
      </c>
    </row>
    <row r="623" spans="1:7" x14ac:dyDescent="0.25">
      <c r="A623" t="s">
        <v>229</v>
      </c>
      <c r="B623" s="556">
        <v>3</v>
      </c>
      <c r="C623" t="s">
        <v>1503</v>
      </c>
      <c r="D623" s="1080" t="s">
        <v>1611</v>
      </c>
      <c r="E623" s="556">
        <f ca="1">VLOOKUP(A623,Data!C:I,7,FALSE)</f>
        <v>0</v>
      </c>
      <c r="F623" s="636" t="str">
        <f t="shared" si="66"/>
        <v>RS.AN-53</v>
      </c>
      <c r="G623" s="636" t="str">
        <f t="shared" ca="1" si="67"/>
        <v>RS.AN-530</v>
      </c>
    </row>
    <row r="624" spans="1:7" x14ac:dyDescent="0.25">
      <c r="A624" t="s">
        <v>230</v>
      </c>
      <c r="B624" s="556">
        <v>3</v>
      </c>
      <c r="C624" t="s">
        <v>446</v>
      </c>
      <c r="D624" s="1079" t="s">
        <v>1610</v>
      </c>
      <c r="E624" s="556">
        <f ca="1">VLOOKUP(A624,Data!C:I,7,FALSE)</f>
        <v>0</v>
      </c>
      <c r="F624" s="636" t="str">
        <f t="shared" si="66"/>
        <v>ID.RA-23</v>
      </c>
      <c r="G624" s="636" t="str">
        <f t="shared" ca="1" si="67"/>
        <v>ID.RA-230</v>
      </c>
    </row>
    <row r="625" spans="1:7" x14ac:dyDescent="0.25">
      <c r="A625" t="s">
        <v>230</v>
      </c>
      <c r="B625" s="556">
        <v>3</v>
      </c>
      <c r="C625" t="s">
        <v>446</v>
      </c>
      <c r="D625" s="1079" t="s">
        <v>1612</v>
      </c>
      <c r="E625" s="556">
        <f ca="1">VLOOKUP(A625,Data!C:I,7,FALSE)</f>
        <v>0</v>
      </c>
      <c r="F625" s="636" t="str">
        <f t="shared" si="66"/>
        <v>ID.RA-33</v>
      </c>
      <c r="G625" s="636" t="str">
        <f t="shared" ca="1" si="67"/>
        <v>ID.RA-330</v>
      </c>
    </row>
    <row r="626" spans="1:7" x14ac:dyDescent="0.25">
      <c r="A626" t="s">
        <v>230</v>
      </c>
      <c r="B626" s="556">
        <v>3</v>
      </c>
      <c r="C626" t="s">
        <v>1502</v>
      </c>
      <c r="D626" s="1076" t="s">
        <v>1577</v>
      </c>
      <c r="E626" s="556">
        <f ca="1">VLOOKUP(A626,Data!C:I,7,FALSE)</f>
        <v>0</v>
      </c>
      <c r="F626" s="636" t="str">
        <f t="shared" si="66"/>
        <v>DE.AE-33</v>
      </c>
      <c r="G626" s="636" t="str">
        <f t="shared" ca="1" si="67"/>
        <v>DE.AE-330</v>
      </c>
    </row>
    <row r="627" spans="1:7" x14ac:dyDescent="0.25">
      <c r="A627" t="s">
        <v>230</v>
      </c>
      <c r="B627" s="556">
        <v>3</v>
      </c>
      <c r="C627" t="s">
        <v>1502</v>
      </c>
      <c r="D627" s="1082" t="s">
        <v>1537</v>
      </c>
      <c r="E627" s="556">
        <f ca="1">VLOOKUP(A627,Data!C:I,7,FALSE)</f>
        <v>0</v>
      </c>
      <c r="F627" s="636" t="str">
        <f t="shared" si="66"/>
        <v>DE.CM-13</v>
      </c>
      <c r="G627" s="636" t="str">
        <f t="shared" ca="1" si="67"/>
        <v>DE.CM-130</v>
      </c>
    </row>
    <row r="628" spans="1:7" x14ac:dyDescent="0.25">
      <c r="A628" t="s">
        <v>230</v>
      </c>
      <c r="B628" s="556">
        <v>3</v>
      </c>
      <c r="C628" t="s">
        <v>1502</v>
      </c>
      <c r="D628" s="1082" t="s">
        <v>1527</v>
      </c>
      <c r="E628" s="556">
        <f ca="1">VLOOKUP(A628,Data!C:I,7,FALSE)</f>
        <v>0</v>
      </c>
      <c r="F628" s="636" t="str">
        <f t="shared" si="66"/>
        <v>DE.CM-23</v>
      </c>
      <c r="G628" s="636" t="str">
        <f t="shared" ca="1" si="67"/>
        <v>DE.CM-230</v>
      </c>
    </row>
    <row r="629" spans="1:7" x14ac:dyDescent="0.25">
      <c r="A629" t="s">
        <v>230</v>
      </c>
      <c r="B629" s="556">
        <v>3</v>
      </c>
      <c r="C629" t="s">
        <v>1502</v>
      </c>
      <c r="D629" s="1076" t="s">
        <v>1523</v>
      </c>
      <c r="E629" s="556">
        <f ca="1">VLOOKUP(A629,Data!C:I,7,FALSE)</f>
        <v>0</v>
      </c>
      <c r="F629" s="636" t="str">
        <f t="shared" si="66"/>
        <v>DE.CM-33</v>
      </c>
      <c r="G629" s="636" t="str">
        <f t="shared" ca="1" si="67"/>
        <v>DE.CM-330</v>
      </c>
    </row>
    <row r="630" spans="1:7" x14ac:dyDescent="0.25">
      <c r="A630" t="s">
        <v>230</v>
      </c>
      <c r="B630" s="556">
        <v>3</v>
      </c>
      <c r="C630" t="s">
        <v>1502</v>
      </c>
      <c r="D630" s="1076" t="s">
        <v>1541</v>
      </c>
      <c r="E630" s="556">
        <f ca="1">VLOOKUP(A630,Data!C:I,7,FALSE)</f>
        <v>0</v>
      </c>
      <c r="F630" s="636" t="str">
        <f t="shared" si="66"/>
        <v>DE.CM-43</v>
      </c>
      <c r="G630" s="636" t="str">
        <f t="shared" ca="1" si="67"/>
        <v>DE.CM-430</v>
      </c>
    </row>
    <row r="631" spans="1:7" x14ac:dyDescent="0.25">
      <c r="A631" t="s">
        <v>230</v>
      </c>
      <c r="B631" s="556">
        <v>3</v>
      </c>
      <c r="C631" t="s">
        <v>1502</v>
      </c>
      <c r="D631" s="1076" t="s">
        <v>1545</v>
      </c>
      <c r="E631" s="556">
        <f ca="1">VLOOKUP(A631,Data!C:I,7,FALSE)</f>
        <v>0</v>
      </c>
      <c r="F631" s="636" t="str">
        <f t="shared" si="66"/>
        <v>DE.CM-53</v>
      </c>
      <c r="G631" s="636" t="str">
        <f t="shared" ca="1" si="67"/>
        <v>DE.CM-530</v>
      </c>
    </row>
    <row r="632" spans="1:7" x14ac:dyDescent="0.25">
      <c r="A632" t="s">
        <v>230</v>
      </c>
      <c r="B632" s="556">
        <v>3</v>
      </c>
      <c r="C632" t="s">
        <v>1502</v>
      </c>
      <c r="D632" s="1076" t="s">
        <v>1524</v>
      </c>
      <c r="E632" s="556">
        <f ca="1">VLOOKUP(A632,Data!C:I,7,FALSE)</f>
        <v>0</v>
      </c>
      <c r="F632" s="636" t="str">
        <f t="shared" si="66"/>
        <v>DE.CM-63</v>
      </c>
      <c r="G632" s="636" t="str">
        <f t="shared" ca="1" si="67"/>
        <v>DE.CM-630</v>
      </c>
    </row>
    <row r="633" spans="1:7" x14ac:dyDescent="0.25">
      <c r="A633" t="s">
        <v>230</v>
      </c>
      <c r="B633" s="556">
        <v>3</v>
      </c>
      <c r="C633" t="s">
        <v>1502</v>
      </c>
      <c r="D633" s="1076" t="s">
        <v>1525</v>
      </c>
      <c r="E633" s="556">
        <f ca="1">VLOOKUP(A633,Data!C:I,7,FALSE)</f>
        <v>0</v>
      </c>
      <c r="F633" s="636" t="str">
        <f t="shared" si="66"/>
        <v>DE.CM-73</v>
      </c>
      <c r="G633" s="636" t="str">
        <f t="shared" ca="1" si="67"/>
        <v>DE.CM-730</v>
      </c>
    </row>
    <row r="634" spans="1:7" x14ac:dyDescent="0.25">
      <c r="A634" t="s">
        <v>230</v>
      </c>
      <c r="B634" s="556">
        <v>3</v>
      </c>
      <c r="C634" t="s">
        <v>1503</v>
      </c>
      <c r="D634" s="1080" t="s">
        <v>1611</v>
      </c>
      <c r="E634" s="556">
        <f ca="1">VLOOKUP(A634,Data!C:I,7,FALSE)</f>
        <v>0</v>
      </c>
      <c r="F634" s="636" t="str">
        <f t="shared" si="66"/>
        <v>RS.AN-53</v>
      </c>
      <c r="G634" s="636" t="str">
        <f t="shared" ca="1" si="67"/>
        <v>RS.AN-530</v>
      </c>
    </row>
    <row r="635" spans="1:7" x14ac:dyDescent="0.25">
      <c r="A635" t="s">
        <v>231</v>
      </c>
      <c r="B635" s="556">
        <v>3</v>
      </c>
      <c r="C635" t="s">
        <v>446</v>
      </c>
      <c r="D635" s="1079" t="s">
        <v>1568</v>
      </c>
      <c r="E635" s="556">
        <f ca="1">VLOOKUP(A635,Data!C:I,7,FALSE)</f>
        <v>0</v>
      </c>
      <c r="F635" s="636" t="str">
        <f t="shared" si="66"/>
        <v>ID.BE-53</v>
      </c>
      <c r="G635" s="636" t="str">
        <f t="shared" ca="1" si="67"/>
        <v>ID.BE-530</v>
      </c>
    </row>
    <row r="636" spans="1:7" x14ac:dyDescent="0.25">
      <c r="A636" t="s">
        <v>231</v>
      </c>
      <c r="B636" s="556">
        <v>3</v>
      </c>
      <c r="C636" t="s">
        <v>1501</v>
      </c>
      <c r="D636" s="1075" t="s">
        <v>1555</v>
      </c>
      <c r="E636" s="556">
        <f ca="1">VLOOKUP(A636,Data!C:I,7,FALSE)</f>
        <v>0</v>
      </c>
      <c r="F636" s="636" t="str">
        <f t="shared" si="66"/>
        <v>PR.IP-13</v>
      </c>
      <c r="G636" s="636" t="str">
        <f t="shared" ca="1" si="67"/>
        <v>PR.IP-130</v>
      </c>
    </row>
    <row r="637" spans="1:7" x14ac:dyDescent="0.25">
      <c r="A637" t="s">
        <v>231</v>
      </c>
      <c r="B637" s="556">
        <v>3</v>
      </c>
      <c r="C637" t="s">
        <v>1501</v>
      </c>
      <c r="D637" s="1075" t="s">
        <v>1536</v>
      </c>
      <c r="E637" s="556">
        <f ca="1">VLOOKUP(A637,Data!C:I,7,FALSE)</f>
        <v>0</v>
      </c>
      <c r="F637" s="636" t="str">
        <f t="shared" si="66"/>
        <v>PR.PT-53</v>
      </c>
      <c r="G637" s="636" t="str">
        <f t="shared" ca="1" si="67"/>
        <v>PR.PT-530</v>
      </c>
    </row>
    <row r="638" spans="1:7" x14ac:dyDescent="0.25">
      <c r="A638" t="s">
        <v>235</v>
      </c>
      <c r="B638" s="556">
        <v>3</v>
      </c>
      <c r="C638" t="s">
        <v>446</v>
      </c>
      <c r="D638" s="1079" t="s">
        <v>1562</v>
      </c>
      <c r="E638" s="556">
        <f ca="1">VLOOKUP(A638,Data!C:I,7,FALSE)</f>
        <v>0</v>
      </c>
      <c r="F638" s="636" t="str">
        <f t="shared" si="66"/>
        <v>ID.GV-13</v>
      </c>
      <c r="G638" s="636" t="str">
        <f t="shared" ca="1" si="67"/>
        <v>ID.GV-130</v>
      </c>
    </row>
    <row r="639" spans="1:7" x14ac:dyDescent="0.25">
      <c r="A639" t="s">
        <v>235</v>
      </c>
      <c r="B639" s="556">
        <v>3</v>
      </c>
      <c r="C639" t="s">
        <v>446</v>
      </c>
      <c r="D639" s="1079" t="s">
        <v>1576</v>
      </c>
      <c r="E639" s="556">
        <f ca="1">VLOOKUP(A639,Data!C:I,7,FALSE)</f>
        <v>0</v>
      </c>
      <c r="F639" s="636" t="str">
        <f t="shared" si="66"/>
        <v>ID.GV-33</v>
      </c>
      <c r="G639" s="636" t="str">
        <f t="shared" ca="1" si="67"/>
        <v>ID.GV-330</v>
      </c>
    </row>
    <row r="640" spans="1:7" x14ac:dyDescent="0.25">
      <c r="A640" t="s">
        <v>236</v>
      </c>
      <c r="B640" s="556">
        <v>3</v>
      </c>
      <c r="C640" t="s">
        <v>446</v>
      </c>
      <c r="D640" s="1079" t="s">
        <v>1529</v>
      </c>
      <c r="E640" s="556">
        <f ca="1">VLOOKUP(A640,Data!C:I,7,FALSE)</f>
        <v>0</v>
      </c>
      <c r="F640" s="636" t="str">
        <f t="shared" si="66"/>
        <v>ID.AM-63</v>
      </c>
      <c r="G640" s="636" t="str">
        <f t="shared" ca="1" si="67"/>
        <v>ID.AM-630</v>
      </c>
    </row>
    <row r="641" spans="1:7" x14ac:dyDescent="0.25">
      <c r="A641" t="s">
        <v>236</v>
      </c>
      <c r="B641" s="556">
        <v>3</v>
      </c>
      <c r="C641" t="s">
        <v>446</v>
      </c>
      <c r="D641" s="1079" t="s">
        <v>1562</v>
      </c>
      <c r="E641" s="556">
        <f ca="1">VLOOKUP(A641,Data!C:I,7,FALSE)</f>
        <v>0</v>
      </c>
      <c r="F641" s="636" t="str">
        <f t="shared" si="66"/>
        <v>ID.GV-13</v>
      </c>
      <c r="G641" s="636" t="str">
        <f t="shared" ca="1" si="67"/>
        <v>ID.GV-130</v>
      </c>
    </row>
    <row r="642" spans="1:7" x14ac:dyDescent="0.25">
      <c r="A642" t="s">
        <v>236</v>
      </c>
      <c r="B642" s="556">
        <v>3</v>
      </c>
      <c r="C642" t="s">
        <v>446</v>
      </c>
      <c r="D642" s="1079" t="s">
        <v>1530</v>
      </c>
      <c r="E642" s="556">
        <f ca="1">VLOOKUP(A642,Data!C:I,7,FALSE)</f>
        <v>0</v>
      </c>
      <c r="F642" s="636" t="str">
        <f t="shared" si="66"/>
        <v>ID.GV-23</v>
      </c>
      <c r="G642" s="636" t="str">
        <f t="shared" ca="1" si="67"/>
        <v>ID.GV-230</v>
      </c>
    </row>
    <row r="643" spans="1:7" x14ac:dyDescent="0.25">
      <c r="A643" t="s">
        <v>236</v>
      </c>
      <c r="B643" s="556">
        <v>3</v>
      </c>
      <c r="C643" t="s">
        <v>446</v>
      </c>
      <c r="D643" s="1079" t="s">
        <v>1576</v>
      </c>
      <c r="E643" s="556">
        <f ca="1">VLOOKUP(A643,Data!C:I,7,FALSE)</f>
        <v>0</v>
      </c>
      <c r="F643" s="636" t="str">
        <f t="shared" ref="F643:F706" si="68">CONCATENATE($D643,$B643)</f>
        <v>ID.GV-33</v>
      </c>
      <c r="G643" s="636" t="str">
        <f t="shared" ref="G643:G706" ca="1" si="69">_xlfn.IFNA(CONCATENATE(F643,$E643),CONCATENATE(F643,$E643,0))</f>
        <v>ID.GV-330</v>
      </c>
    </row>
    <row r="644" spans="1:7" x14ac:dyDescent="0.25">
      <c r="A644" t="s">
        <v>236</v>
      </c>
      <c r="B644" s="556">
        <v>3</v>
      </c>
      <c r="C644" t="s">
        <v>1501</v>
      </c>
      <c r="D644" s="1075" t="s">
        <v>1615</v>
      </c>
      <c r="E644" s="556">
        <f ca="1">VLOOKUP(A644,Data!C:I,7,FALSE)</f>
        <v>0</v>
      </c>
      <c r="F644" s="636" t="str">
        <f t="shared" si="68"/>
        <v>PR.AT-23</v>
      </c>
      <c r="G644" s="636" t="str">
        <f t="shared" ca="1" si="69"/>
        <v>PR.AT-230</v>
      </c>
    </row>
    <row r="645" spans="1:7" x14ac:dyDescent="0.25">
      <c r="A645" t="s">
        <v>236</v>
      </c>
      <c r="B645" s="556">
        <v>3</v>
      </c>
      <c r="C645" t="s">
        <v>1501</v>
      </c>
      <c r="D645" s="1075" t="s">
        <v>1616</v>
      </c>
      <c r="E645" s="556">
        <f ca="1">VLOOKUP(A645,Data!C:I,7,FALSE)</f>
        <v>0</v>
      </c>
      <c r="F645" s="636" t="str">
        <f t="shared" si="68"/>
        <v>PR.AT-33</v>
      </c>
      <c r="G645" s="636" t="str">
        <f t="shared" ca="1" si="69"/>
        <v>PR.AT-330</v>
      </c>
    </row>
    <row r="646" spans="1:7" x14ac:dyDescent="0.25">
      <c r="A646" t="s">
        <v>236</v>
      </c>
      <c r="B646" s="556">
        <v>3</v>
      </c>
      <c r="C646" t="s">
        <v>1501</v>
      </c>
      <c r="D646" s="1075" t="s">
        <v>1565</v>
      </c>
      <c r="E646" s="556">
        <f ca="1">VLOOKUP(A646,Data!C:I,7,FALSE)</f>
        <v>0</v>
      </c>
      <c r="F646" s="636" t="str">
        <f t="shared" si="68"/>
        <v>PR.AT-43</v>
      </c>
      <c r="G646" s="636" t="str">
        <f t="shared" ca="1" si="69"/>
        <v>PR.AT-430</v>
      </c>
    </row>
    <row r="647" spans="1:7" x14ac:dyDescent="0.25">
      <c r="A647" t="s">
        <v>236</v>
      </c>
      <c r="B647" s="556">
        <v>3</v>
      </c>
      <c r="C647" t="s">
        <v>1501</v>
      </c>
      <c r="D647" s="1075" t="s">
        <v>1617</v>
      </c>
      <c r="E647" s="556">
        <f ca="1">VLOOKUP(A647,Data!C:I,7,FALSE)</f>
        <v>0</v>
      </c>
      <c r="F647" s="636" t="str">
        <f t="shared" si="68"/>
        <v>PR.AT-53</v>
      </c>
      <c r="G647" s="636" t="str">
        <f t="shared" ca="1" si="69"/>
        <v>PR.AT-530</v>
      </c>
    </row>
    <row r="648" spans="1:7" x14ac:dyDescent="0.25">
      <c r="A648" t="s">
        <v>236</v>
      </c>
      <c r="B648" s="556">
        <v>3</v>
      </c>
      <c r="C648" t="s">
        <v>1502</v>
      </c>
      <c r="D648" s="1076" t="s">
        <v>1578</v>
      </c>
      <c r="E648" s="556">
        <f ca="1">VLOOKUP(A648,Data!C:I,7,FALSE)</f>
        <v>0</v>
      </c>
      <c r="F648" s="636" t="str">
        <f t="shared" si="68"/>
        <v>DE.DP-13</v>
      </c>
      <c r="G648" s="636" t="str">
        <f t="shared" ca="1" si="69"/>
        <v>DE.DP-130</v>
      </c>
    </row>
    <row r="649" spans="1:7" x14ac:dyDescent="0.25">
      <c r="A649" t="s">
        <v>236</v>
      </c>
      <c r="B649" s="556">
        <v>3</v>
      </c>
      <c r="C649" t="s">
        <v>1503</v>
      </c>
      <c r="D649" s="1080" t="s">
        <v>1571</v>
      </c>
      <c r="E649" s="556">
        <f ca="1">VLOOKUP(A649,Data!C:I,7,FALSE)</f>
        <v>0</v>
      </c>
      <c r="F649" s="636" t="str">
        <f t="shared" si="68"/>
        <v>RS.CO-13</v>
      </c>
      <c r="G649" s="636" t="str">
        <f t="shared" ca="1" si="69"/>
        <v>RS.CO-130</v>
      </c>
    </row>
    <row r="650" spans="1:7" x14ac:dyDescent="0.25">
      <c r="A650" t="s">
        <v>237</v>
      </c>
      <c r="B650" s="556">
        <v>3</v>
      </c>
      <c r="C650" t="s">
        <v>1501</v>
      </c>
      <c r="D650" s="1075" t="s">
        <v>1619</v>
      </c>
      <c r="E650" s="556">
        <f ca="1">VLOOKUP(A650,Data!C:I,7,FALSE)</f>
        <v>0</v>
      </c>
      <c r="F650" s="636" t="str">
        <f t="shared" si="68"/>
        <v>PR.AT-13</v>
      </c>
      <c r="G650" s="636" t="str">
        <f t="shared" ca="1" si="69"/>
        <v>PR.AT-130</v>
      </c>
    </row>
    <row r="651" spans="1:7" x14ac:dyDescent="0.25">
      <c r="A651" t="s">
        <v>238</v>
      </c>
      <c r="B651" s="556">
        <v>3</v>
      </c>
      <c r="C651" t="s">
        <v>1501</v>
      </c>
      <c r="D651" s="1075" t="s">
        <v>1781</v>
      </c>
      <c r="E651" s="556">
        <f ca="1">VLOOKUP(A651,Data!C:I,7,FALSE)</f>
        <v>0</v>
      </c>
      <c r="F651" s="636" t="str">
        <f t="shared" si="68"/>
        <v>PR.IP-73</v>
      </c>
      <c r="G651" s="636" t="str">
        <f t="shared" ca="1" si="69"/>
        <v>PR.IP-730</v>
      </c>
    </row>
    <row r="652" spans="1:7" x14ac:dyDescent="0.25">
      <c r="A652" t="s">
        <v>238</v>
      </c>
      <c r="B652" s="556">
        <v>3</v>
      </c>
      <c r="C652" t="s">
        <v>1502</v>
      </c>
      <c r="D652" s="1076" t="s">
        <v>1583</v>
      </c>
      <c r="E652" s="556">
        <f ca="1">VLOOKUP(A652,Data!C:I,7,FALSE)</f>
        <v>0</v>
      </c>
      <c r="F652" s="636" t="str">
        <f t="shared" si="68"/>
        <v>DE.DP-53</v>
      </c>
      <c r="G652" s="636" t="str">
        <f t="shared" ca="1" si="69"/>
        <v>DE.DP-530</v>
      </c>
    </row>
    <row r="653" spans="1:7" x14ac:dyDescent="0.25">
      <c r="A653" t="s">
        <v>2623</v>
      </c>
      <c r="B653" s="556">
        <v>1</v>
      </c>
      <c r="C653" t="s">
        <v>446</v>
      </c>
      <c r="D653" s="1079" t="s">
        <v>1561</v>
      </c>
      <c r="E653" s="556">
        <f ca="1">VLOOKUP(A653,Data!C:I,7,FALSE)</f>
        <v>0</v>
      </c>
      <c r="F653" s="636" t="str">
        <f t="shared" si="68"/>
        <v>ID.BE-11</v>
      </c>
      <c r="G653" s="636" t="str">
        <f t="shared" ca="1" si="69"/>
        <v>ID.BE-110</v>
      </c>
    </row>
    <row r="654" spans="1:7" x14ac:dyDescent="0.25">
      <c r="A654" t="s">
        <v>2623</v>
      </c>
      <c r="B654" s="556">
        <v>1</v>
      </c>
      <c r="C654" t="s">
        <v>446</v>
      </c>
      <c r="D654" s="1079" t="s">
        <v>1559</v>
      </c>
      <c r="E654" s="556">
        <f ca="1">VLOOKUP(A654,Data!C:I,7,FALSE)</f>
        <v>0</v>
      </c>
      <c r="F654" s="636" t="str">
        <f t="shared" si="68"/>
        <v>ID.BE-21</v>
      </c>
      <c r="G654" s="636" t="str">
        <f t="shared" ca="1" si="69"/>
        <v>ID.BE-210</v>
      </c>
    </row>
    <row r="655" spans="1:7" x14ac:dyDescent="0.25">
      <c r="A655" t="s">
        <v>2623</v>
      </c>
      <c r="B655" s="556">
        <v>1</v>
      </c>
      <c r="C655" t="s">
        <v>446</v>
      </c>
      <c r="D655" s="1081" t="s">
        <v>1551</v>
      </c>
      <c r="E655" s="556">
        <f ca="1">VLOOKUP(A655,Data!C:I,7,FALSE)</f>
        <v>0</v>
      </c>
      <c r="F655" s="636" t="str">
        <f t="shared" si="68"/>
        <v>ID.BE-41</v>
      </c>
      <c r="G655" s="636" t="str">
        <f t="shared" ca="1" si="69"/>
        <v>ID.BE-410</v>
      </c>
    </row>
    <row r="656" spans="1:7" x14ac:dyDescent="0.25">
      <c r="A656" t="s">
        <v>2623</v>
      </c>
      <c r="B656" s="556">
        <v>1</v>
      </c>
      <c r="C656" t="s">
        <v>446</v>
      </c>
      <c r="D656" s="1079" t="s">
        <v>1543</v>
      </c>
      <c r="E656" s="556">
        <f ca="1">VLOOKUP(A656,Data!C:I,7,FALSE)</f>
        <v>0</v>
      </c>
      <c r="F656" s="636" t="str">
        <f t="shared" si="68"/>
        <v>ID.SC-21</v>
      </c>
      <c r="G656" s="636" t="str">
        <f t="shared" ca="1" si="69"/>
        <v>ID.SC-210</v>
      </c>
    </row>
    <row r="657" spans="1:7" x14ac:dyDescent="0.25">
      <c r="A657" t="s">
        <v>2623</v>
      </c>
      <c r="B657" s="556">
        <v>1</v>
      </c>
      <c r="C657" t="s">
        <v>1501</v>
      </c>
      <c r="D657" s="1075" t="s">
        <v>1534</v>
      </c>
      <c r="E657" s="556">
        <f ca="1">VLOOKUP(A657,Data!C:I,7,FALSE)</f>
        <v>0</v>
      </c>
      <c r="F657" s="636" t="str">
        <f t="shared" si="68"/>
        <v>PR.DS-41</v>
      </c>
      <c r="G657" s="636" t="str">
        <f t="shared" ca="1" si="69"/>
        <v>PR.DS-410</v>
      </c>
    </row>
    <row r="658" spans="1:7" x14ac:dyDescent="0.25">
      <c r="A658" t="s">
        <v>2624</v>
      </c>
      <c r="B658" s="556">
        <v>1</v>
      </c>
      <c r="C658" t="s">
        <v>446</v>
      </c>
      <c r="D658" s="1079" t="s">
        <v>1543</v>
      </c>
      <c r="E658" s="556">
        <f ca="1">VLOOKUP(A658,Data!C:I,7,FALSE)</f>
        <v>0</v>
      </c>
      <c r="F658" s="636" t="str">
        <f t="shared" si="68"/>
        <v>ID.SC-21</v>
      </c>
      <c r="G658" s="636" t="str">
        <f t="shared" ca="1" si="69"/>
        <v>ID.SC-210</v>
      </c>
    </row>
    <row r="659" spans="1:7" x14ac:dyDescent="0.25">
      <c r="A659" t="s">
        <v>2625</v>
      </c>
      <c r="B659" s="556">
        <v>2</v>
      </c>
      <c r="C659" t="s">
        <v>446</v>
      </c>
      <c r="D659" s="1079" t="s">
        <v>1567</v>
      </c>
      <c r="E659" s="556">
        <f ca="1">VLOOKUP(A659,Data!C:I,7,FALSE)</f>
        <v>0</v>
      </c>
      <c r="F659" s="636" t="str">
        <f t="shared" si="68"/>
        <v>ID.RM-12</v>
      </c>
      <c r="G659" s="636" t="str">
        <f t="shared" ca="1" si="69"/>
        <v>ID.RM-120</v>
      </c>
    </row>
    <row r="660" spans="1:7" x14ac:dyDescent="0.25">
      <c r="A660" t="s">
        <v>2626</v>
      </c>
      <c r="B660" s="556">
        <v>2</v>
      </c>
      <c r="C660" t="s">
        <v>446</v>
      </c>
      <c r="D660" s="1079" t="s">
        <v>1550</v>
      </c>
      <c r="E660" s="556">
        <f ca="1">VLOOKUP(A660,Data!C:I,7,FALSE)</f>
        <v>0</v>
      </c>
      <c r="F660" s="636" t="str">
        <f t="shared" si="68"/>
        <v>ID.AM-52</v>
      </c>
      <c r="G660" s="636" t="str">
        <f t="shared" ca="1" si="69"/>
        <v>ID.AM-520</v>
      </c>
    </row>
    <row r="661" spans="1:7" x14ac:dyDescent="0.25">
      <c r="A661" t="s">
        <v>2626</v>
      </c>
      <c r="B661" s="556">
        <v>2</v>
      </c>
      <c r="C661" t="s">
        <v>446</v>
      </c>
      <c r="D661" s="1079" t="s">
        <v>1543</v>
      </c>
      <c r="E661" s="556">
        <f ca="1">VLOOKUP(A661,Data!C:I,7,FALSE)</f>
        <v>0</v>
      </c>
      <c r="F661" s="636" t="str">
        <f t="shared" si="68"/>
        <v>ID.SC-22</v>
      </c>
      <c r="G661" s="636" t="str">
        <f t="shared" ca="1" si="69"/>
        <v>ID.SC-220</v>
      </c>
    </row>
    <row r="662" spans="1:7" x14ac:dyDescent="0.25">
      <c r="A662" t="s">
        <v>2627</v>
      </c>
      <c r="B662" s="556">
        <v>2</v>
      </c>
      <c r="C662" t="s">
        <v>1501</v>
      </c>
      <c r="D662" s="1075" t="s">
        <v>1534</v>
      </c>
      <c r="E662" s="556">
        <f ca="1">VLOOKUP(A662,Data!C:I,7,FALSE)</f>
        <v>0</v>
      </c>
      <c r="F662" s="636" t="str">
        <f t="shared" si="68"/>
        <v>PR.DS-42</v>
      </c>
      <c r="G662" s="636" t="str">
        <f t="shared" ca="1" si="69"/>
        <v>PR.DS-420</v>
      </c>
    </row>
    <row r="663" spans="1:7" x14ac:dyDescent="0.25">
      <c r="A663" t="s">
        <v>2628</v>
      </c>
      <c r="B663" s="556">
        <v>3</v>
      </c>
      <c r="C663" t="s">
        <v>446</v>
      </c>
      <c r="D663" s="1079" t="s">
        <v>1543</v>
      </c>
      <c r="E663" s="556">
        <f ca="1">VLOOKUP(A663,Data!C:I,7,FALSE)</f>
        <v>0</v>
      </c>
      <c r="F663" s="636" t="str">
        <f t="shared" si="68"/>
        <v>ID.SC-23</v>
      </c>
      <c r="G663" s="636" t="str">
        <f t="shared" ca="1" si="69"/>
        <v>ID.SC-230</v>
      </c>
    </row>
    <row r="664" spans="1:7" x14ac:dyDescent="0.25">
      <c r="A664" t="s">
        <v>2634</v>
      </c>
      <c r="B664" s="556">
        <v>2</v>
      </c>
      <c r="C664" t="s">
        <v>446</v>
      </c>
      <c r="D664" s="1079" t="s">
        <v>1543</v>
      </c>
      <c r="E664" s="556">
        <f ca="1">VLOOKUP(A664,Data!C:I,7,FALSE)</f>
        <v>0</v>
      </c>
      <c r="F664" s="636" t="str">
        <f t="shared" si="68"/>
        <v>ID.SC-22</v>
      </c>
      <c r="G664" s="636" t="str">
        <f t="shared" ca="1" si="69"/>
        <v>ID.SC-220</v>
      </c>
    </row>
    <row r="665" spans="1:7" x14ac:dyDescent="0.25">
      <c r="A665" t="s">
        <v>2636</v>
      </c>
      <c r="B665" s="556">
        <v>2</v>
      </c>
      <c r="C665" t="s">
        <v>446</v>
      </c>
      <c r="D665" s="1079" t="s">
        <v>1607</v>
      </c>
      <c r="E665" s="556">
        <f ca="1">VLOOKUP(A665,Data!C:I,7,FALSE)</f>
        <v>0</v>
      </c>
      <c r="F665" s="636" t="str">
        <f t="shared" si="68"/>
        <v>ID.SC-32</v>
      </c>
      <c r="G665" s="636" t="str">
        <f t="shared" ca="1" si="69"/>
        <v>ID.SC-320</v>
      </c>
    </row>
    <row r="666" spans="1:7" x14ac:dyDescent="0.25">
      <c r="A666" t="s">
        <v>2637</v>
      </c>
      <c r="B666" s="556">
        <v>2</v>
      </c>
      <c r="C666" t="s">
        <v>446</v>
      </c>
      <c r="D666" s="1079" t="s">
        <v>1543</v>
      </c>
      <c r="E666" s="556">
        <f ca="1">VLOOKUP(A666,Data!C:I,7,FALSE)</f>
        <v>0</v>
      </c>
      <c r="F666" s="636" t="str">
        <f t="shared" si="68"/>
        <v>ID.SC-22</v>
      </c>
      <c r="G666" s="636" t="str">
        <f t="shared" ca="1" si="69"/>
        <v>ID.SC-220</v>
      </c>
    </row>
    <row r="667" spans="1:7" x14ac:dyDescent="0.25">
      <c r="A667" t="s">
        <v>2637</v>
      </c>
      <c r="B667" s="556">
        <v>2</v>
      </c>
      <c r="C667" t="s">
        <v>446</v>
      </c>
      <c r="D667" s="1079" t="s">
        <v>1608</v>
      </c>
      <c r="E667" s="556">
        <f ca="1">VLOOKUP(A667,Data!C:I,7,FALSE)</f>
        <v>0</v>
      </c>
      <c r="F667" s="636" t="str">
        <f t="shared" si="68"/>
        <v>ID.SC-42</v>
      </c>
      <c r="G667" s="636" t="str">
        <f t="shared" ca="1" si="69"/>
        <v>ID.SC-420</v>
      </c>
    </row>
    <row r="668" spans="1:7" x14ac:dyDescent="0.25">
      <c r="A668" t="s">
        <v>2638</v>
      </c>
      <c r="B668" s="556">
        <v>3</v>
      </c>
      <c r="C668" t="s">
        <v>446</v>
      </c>
      <c r="D668" s="1079" t="s">
        <v>1607</v>
      </c>
      <c r="E668" s="556">
        <f ca="1">VLOOKUP(A668,Data!C:I,7,FALSE)</f>
        <v>0</v>
      </c>
      <c r="F668" s="636" t="str">
        <f t="shared" si="68"/>
        <v>ID.SC-33</v>
      </c>
      <c r="G668" s="636" t="str">
        <f t="shared" ca="1" si="69"/>
        <v>ID.SC-330</v>
      </c>
    </row>
    <row r="669" spans="1:7" x14ac:dyDescent="0.25">
      <c r="A669" t="s">
        <v>2642</v>
      </c>
      <c r="B669" s="556">
        <v>3</v>
      </c>
      <c r="C669" t="s">
        <v>446</v>
      </c>
      <c r="D669" s="1079" t="s">
        <v>1608</v>
      </c>
      <c r="E669" s="556">
        <f ca="1">VLOOKUP(A669,Data!C:I,7,FALSE)</f>
        <v>0</v>
      </c>
      <c r="F669" s="636" t="str">
        <f t="shared" si="68"/>
        <v>ID.SC-43</v>
      </c>
      <c r="G669" s="636" t="str">
        <f t="shared" ca="1" si="69"/>
        <v>ID.SC-430</v>
      </c>
    </row>
    <row r="670" spans="1:7" x14ac:dyDescent="0.25">
      <c r="A670" t="s">
        <v>2643</v>
      </c>
      <c r="B670" s="556">
        <v>3</v>
      </c>
      <c r="C670" t="s">
        <v>1501</v>
      </c>
      <c r="D670" s="1075" t="s">
        <v>1538</v>
      </c>
      <c r="E670" s="556">
        <f ca="1">VLOOKUP(A670,Data!C:I,7,FALSE)</f>
        <v>0</v>
      </c>
      <c r="F670" s="636" t="str">
        <f t="shared" si="68"/>
        <v>PR.DS-63</v>
      </c>
      <c r="G670" s="636" t="str">
        <f t="shared" ca="1" si="69"/>
        <v>PR.DS-630</v>
      </c>
    </row>
    <row r="671" spans="1:7" x14ac:dyDescent="0.25">
      <c r="A671" t="s">
        <v>2643</v>
      </c>
      <c r="B671" s="556">
        <v>3</v>
      </c>
      <c r="C671" t="s">
        <v>1501</v>
      </c>
      <c r="D671" s="1075" t="s">
        <v>1539</v>
      </c>
      <c r="E671" s="556">
        <f ca="1">VLOOKUP(A671,Data!C:I,7,FALSE)</f>
        <v>0</v>
      </c>
      <c r="F671" s="636" t="str">
        <f t="shared" si="68"/>
        <v>PR.DS-83</v>
      </c>
      <c r="G671" s="636" t="str">
        <f t="shared" ca="1" si="69"/>
        <v>PR.DS-830</v>
      </c>
    </row>
    <row r="672" spans="1:7" x14ac:dyDescent="0.25">
      <c r="A672" t="s">
        <v>2646</v>
      </c>
      <c r="B672" s="556">
        <v>2</v>
      </c>
      <c r="C672" t="s">
        <v>446</v>
      </c>
      <c r="D672" s="1079" t="s">
        <v>1563</v>
      </c>
      <c r="E672" s="556">
        <f ca="1">VLOOKUP(A672,Data!C:I,7,FALSE)</f>
        <v>0</v>
      </c>
      <c r="F672" s="636" t="str">
        <f t="shared" si="68"/>
        <v>ID.SC-12</v>
      </c>
      <c r="G672" s="636" t="str">
        <f t="shared" ca="1" si="69"/>
        <v>ID.SC-120</v>
      </c>
    </row>
    <row r="673" spans="1:7" x14ac:dyDescent="0.25">
      <c r="A673" t="s">
        <v>2648</v>
      </c>
      <c r="B673" s="556">
        <v>3</v>
      </c>
      <c r="C673" t="s">
        <v>446</v>
      </c>
      <c r="D673" s="1079" t="s">
        <v>1562</v>
      </c>
      <c r="E673" s="556">
        <f ca="1">VLOOKUP(A673,Data!C:I,7,FALSE)</f>
        <v>0</v>
      </c>
      <c r="F673" s="636" t="str">
        <f t="shared" si="68"/>
        <v>ID.GV-13</v>
      </c>
      <c r="G673" s="636" t="str">
        <f t="shared" ca="1" si="69"/>
        <v>ID.GV-130</v>
      </c>
    </row>
    <row r="674" spans="1:7" x14ac:dyDescent="0.25">
      <c r="A674" t="s">
        <v>2648</v>
      </c>
      <c r="B674" s="556">
        <v>3</v>
      </c>
      <c r="C674" t="s">
        <v>446</v>
      </c>
      <c r="D674" s="1079" t="s">
        <v>1576</v>
      </c>
      <c r="E674" s="556">
        <f ca="1">VLOOKUP(A674,Data!C:I,7,FALSE)</f>
        <v>0</v>
      </c>
      <c r="F674" s="636" t="str">
        <f t="shared" si="68"/>
        <v>ID.GV-33</v>
      </c>
      <c r="G674" s="636" t="str">
        <f t="shared" ca="1" si="69"/>
        <v>ID.GV-330</v>
      </c>
    </row>
    <row r="675" spans="1:7" x14ac:dyDescent="0.25">
      <c r="A675" t="s">
        <v>2648</v>
      </c>
      <c r="B675" s="556">
        <v>3</v>
      </c>
      <c r="C675" t="s">
        <v>446</v>
      </c>
      <c r="D675" s="1079" t="s">
        <v>1563</v>
      </c>
      <c r="E675" s="556">
        <f ca="1">VLOOKUP(A675,Data!C:I,7,FALSE)</f>
        <v>0</v>
      </c>
      <c r="F675" s="636" t="str">
        <f t="shared" si="68"/>
        <v>ID.SC-13</v>
      </c>
      <c r="G675" s="636" t="str">
        <f t="shared" ca="1" si="69"/>
        <v>ID.SC-130</v>
      </c>
    </row>
    <row r="676" spans="1:7" x14ac:dyDescent="0.25">
      <c r="A676" t="s">
        <v>2649</v>
      </c>
      <c r="B676" s="556">
        <v>3</v>
      </c>
      <c r="C676" t="s">
        <v>446</v>
      </c>
      <c r="D676" s="1079" t="s">
        <v>1529</v>
      </c>
      <c r="E676" s="556">
        <f ca="1">VLOOKUP(A676,Data!C:I,7,FALSE)</f>
        <v>0</v>
      </c>
      <c r="F676" s="636" t="str">
        <f t="shared" si="68"/>
        <v>ID.AM-63</v>
      </c>
      <c r="G676" s="636" t="str">
        <f t="shared" ca="1" si="69"/>
        <v>ID.AM-630</v>
      </c>
    </row>
    <row r="677" spans="1:7" x14ac:dyDescent="0.25">
      <c r="A677" t="s">
        <v>2649</v>
      </c>
      <c r="B677" s="556">
        <v>3</v>
      </c>
      <c r="C677" t="s">
        <v>446</v>
      </c>
      <c r="D677" s="1079" t="s">
        <v>1562</v>
      </c>
      <c r="E677" s="556">
        <f ca="1">VLOOKUP(A677,Data!C:I,7,FALSE)</f>
        <v>0</v>
      </c>
      <c r="F677" s="636" t="str">
        <f t="shared" si="68"/>
        <v>ID.GV-13</v>
      </c>
      <c r="G677" s="636" t="str">
        <f t="shared" ca="1" si="69"/>
        <v>ID.GV-130</v>
      </c>
    </row>
    <row r="678" spans="1:7" x14ac:dyDescent="0.25">
      <c r="A678" t="s">
        <v>2649</v>
      </c>
      <c r="B678" s="556">
        <v>3</v>
      </c>
      <c r="C678" t="s">
        <v>446</v>
      </c>
      <c r="D678" s="1079" t="s">
        <v>1530</v>
      </c>
      <c r="E678" s="556">
        <f ca="1">VLOOKUP(A678,Data!C:I,7,FALSE)</f>
        <v>0</v>
      </c>
      <c r="F678" s="636" t="str">
        <f t="shared" si="68"/>
        <v>ID.GV-23</v>
      </c>
      <c r="G678" s="636" t="str">
        <f t="shared" ca="1" si="69"/>
        <v>ID.GV-230</v>
      </c>
    </row>
    <row r="679" spans="1:7" x14ac:dyDescent="0.25">
      <c r="A679" t="s">
        <v>2649</v>
      </c>
      <c r="B679" s="556">
        <v>3</v>
      </c>
      <c r="C679" t="s">
        <v>446</v>
      </c>
      <c r="D679" s="1079" t="s">
        <v>1576</v>
      </c>
      <c r="E679" s="556">
        <f ca="1">VLOOKUP(A679,Data!C:I,7,FALSE)</f>
        <v>0</v>
      </c>
      <c r="F679" s="636" t="str">
        <f t="shared" si="68"/>
        <v>ID.GV-33</v>
      </c>
      <c r="G679" s="636" t="str">
        <f t="shared" ca="1" si="69"/>
        <v>ID.GV-330</v>
      </c>
    </row>
    <row r="680" spans="1:7" x14ac:dyDescent="0.25">
      <c r="A680" t="s">
        <v>2649</v>
      </c>
      <c r="B680" s="556">
        <v>3</v>
      </c>
      <c r="C680" t="s">
        <v>1501</v>
      </c>
      <c r="D680" s="1075" t="s">
        <v>1615</v>
      </c>
      <c r="E680" s="556">
        <f ca="1">VLOOKUP(A680,Data!C:I,7,FALSE)</f>
        <v>0</v>
      </c>
      <c r="F680" s="636" t="str">
        <f t="shared" si="68"/>
        <v>PR.AT-23</v>
      </c>
      <c r="G680" s="636" t="str">
        <f t="shared" ca="1" si="69"/>
        <v>PR.AT-230</v>
      </c>
    </row>
    <row r="681" spans="1:7" x14ac:dyDescent="0.25">
      <c r="A681" t="s">
        <v>2649</v>
      </c>
      <c r="B681" s="556">
        <v>3</v>
      </c>
      <c r="C681" t="s">
        <v>1501</v>
      </c>
      <c r="D681" s="1075" t="s">
        <v>1616</v>
      </c>
      <c r="E681" s="556">
        <f ca="1">VLOOKUP(A681,Data!C:I,7,FALSE)</f>
        <v>0</v>
      </c>
      <c r="F681" s="636" t="str">
        <f t="shared" si="68"/>
        <v>PR.AT-33</v>
      </c>
      <c r="G681" s="636" t="str">
        <f t="shared" ca="1" si="69"/>
        <v>PR.AT-330</v>
      </c>
    </row>
    <row r="682" spans="1:7" x14ac:dyDescent="0.25">
      <c r="A682" t="s">
        <v>2649</v>
      </c>
      <c r="B682" s="556">
        <v>3</v>
      </c>
      <c r="C682" t="s">
        <v>1501</v>
      </c>
      <c r="D682" s="1075" t="s">
        <v>1565</v>
      </c>
      <c r="E682" s="556">
        <f ca="1">VLOOKUP(A682,Data!C:I,7,FALSE)</f>
        <v>0</v>
      </c>
      <c r="F682" s="636" t="str">
        <f t="shared" si="68"/>
        <v>PR.AT-43</v>
      </c>
      <c r="G682" s="636" t="str">
        <f t="shared" ca="1" si="69"/>
        <v>PR.AT-430</v>
      </c>
    </row>
    <row r="683" spans="1:7" x14ac:dyDescent="0.25">
      <c r="A683" t="s">
        <v>2649</v>
      </c>
      <c r="B683" s="556">
        <v>3</v>
      </c>
      <c r="C683" t="s">
        <v>1501</v>
      </c>
      <c r="D683" s="1075" t="s">
        <v>1617</v>
      </c>
      <c r="E683" s="556">
        <f ca="1">VLOOKUP(A683,Data!C:I,7,FALSE)</f>
        <v>0</v>
      </c>
      <c r="F683" s="636" t="str">
        <f t="shared" si="68"/>
        <v>PR.AT-53</v>
      </c>
      <c r="G683" s="636" t="str">
        <f t="shared" ca="1" si="69"/>
        <v>PR.AT-530</v>
      </c>
    </row>
    <row r="684" spans="1:7" x14ac:dyDescent="0.25">
      <c r="A684" t="s">
        <v>2650</v>
      </c>
      <c r="B684" s="556">
        <v>3</v>
      </c>
      <c r="C684" t="s">
        <v>1501</v>
      </c>
      <c r="D684" s="1075" t="s">
        <v>1619</v>
      </c>
      <c r="E684" s="556">
        <f ca="1">VLOOKUP(A684,Data!C:I,7,FALSE)</f>
        <v>0</v>
      </c>
      <c r="F684" s="636" t="str">
        <f t="shared" si="68"/>
        <v>PR.AT-13</v>
      </c>
      <c r="G684" s="636" t="str">
        <f t="shared" ca="1" si="69"/>
        <v>PR.AT-130</v>
      </c>
    </row>
    <row r="685" spans="1:7" x14ac:dyDescent="0.25">
      <c r="A685" t="s">
        <v>2651</v>
      </c>
      <c r="B685" s="556">
        <v>3</v>
      </c>
      <c r="C685" t="s">
        <v>446</v>
      </c>
      <c r="D685" s="1079" t="s">
        <v>1563</v>
      </c>
      <c r="E685" s="556">
        <f ca="1">VLOOKUP(A685,Data!C:I,7,FALSE)</f>
        <v>0</v>
      </c>
      <c r="F685" s="636" t="str">
        <f t="shared" si="68"/>
        <v>ID.SC-13</v>
      </c>
      <c r="G685" s="636" t="str">
        <f t="shared" ca="1" si="69"/>
        <v>ID.SC-130</v>
      </c>
    </row>
    <row r="686" spans="1:7" x14ac:dyDescent="0.25">
      <c r="A686" t="s">
        <v>2651</v>
      </c>
      <c r="B686" s="556">
        <v>3</v>
      </c>
      <c r="C686" t="s">
        <v>1501</v>
      </c>
      <c r="D686" s="1075" t="s">
        <v>1781</v>
      </c>
      <c r="E686" s="556">
        <f ca="1">VLOOKUP(A686,Data!C:I,7,FALSE)</f>
        <v>0</v>
      </c>
      <c r="F686" s="636" t="str">
        <f t="shared" si="68"/>
        <v>PR.IP-73</v>
      </c>
      <c r="G686" s="636" t="str">
        <f t="shared" ca="1" si="69"/>
        <v>PR.IP-730</v>
      </c>
    </row>
    <row r="687" spans="1:7" x14ac:dyDescent="0.25">
      <c r="A687" t="s">
        <v>175</v>
      </c>
      <c r="B687" s="556">
        <v>1</v>
      </c>
      <c r="C687" t="s">
        <v>446</v>
      </c>
      <c r="D687" s="1079" t="s">
        <v>1609</v>
      </c>
      <c r="E687" s="556">
        <f ca="1">VLOOKUP(A687,Data!C:I,7,FALSE)</f>
        <v>0</v>
      </c>
      <c r="F687" s="636" t="str">
        <f t="shared" si="68"/>
        <v>ID.RA-11</v>
      </c>
      <c r="G687" s="636" t="str">
        <f t="shared" ca="1" si="69"/>
        <v>ID.RA-110</v>
      </c>
    </row>
    <row r="688" spans="1:7" x14ac:dyDescent="0.25">
      <c r="A688" t="s">
        <v>175</v>
      </c>
      <c r="B688" s="556">
        <v>1</v>
      </c>
      <c r="C688" t="s">
        <v>446</v>
      </c>
      <c r="D688" s="1079" t="s">
        <v>1610</v>
      </c>
      <c r="E688" s="556">
        <f ca="1">VLOOKUP(A688,Data!C:I,7,FALSE)</f>
        <v>0</v>
      </c>
      <c r="F688" s="636" t="str">
        <f t="shared" si="68"/>
        <v>ID.RA-21</v>
      </c>
      <c r="G688" s="636" t="str">
        <f t="shared" ca="1" si="69"/>
        <v>ID.RA-210</v>
      </c>
    </row>
    <row r="689" spans="1:7" x14ac:dyDescent="0.25">
      <c r="A689" t="s">
        <v>175</v>
      </c>
      <c r="B689" s="556">
        <v>1</v>
      </c>
      <c r="C689" t="s">
        <v>1503</v>
      </c>
      <c r="D689" s="1080" t="s">
        <v>1611</v>
      </c>
      <c r="E689" s="556">
        <f ca="1">VLOOKUP(A689,Data!C:I,7,FALSE)</f>
        <v>0</v>
      </c>
      <c r="F689" s="636" t="str">
        <f t="shared" si="68"/>
        <v>RS.AN-51</v>
      </c>
      <c r="G689" s="636" t="str">
        <f t="shared" ca="1" si="69"/>
        <v>RS.AN-510</v>
      </c>
    </row>
    <row r="690" spans="1:7" x14ac:dyDescent="0.25">
      <c r="A690" t="s">
        <v>176</v>
      </c>
      <c r="B690" s="556">
        <v>1</v>
      </c>
      <c r="C690" t="s">
        <v>446</v>
      </c>
      <c r="D690" s="1079" t="s">
        <v>1609</v>
      </c>
      <c r="E690" s="556">
        <f ca="1">VLOOKUP(A690,Data!C:I,7,FALSE)</f>
        <v>0</v>
      </c>
      <c r="F690" s="636" t="str">
        <f t="shared" si="68"/>
        <v>ID.RA-11</v>
      </c>
      <c r="G690" s="636" t="str">
        <f t="shared" ca="1" si="69"/>
        <v>ID.RA-110</v>
      </c>
    </row>
    <row r="691" spans="1:7" x14ac:dyDescent="0.25">
      <c r="A691" t="s">
        <v>176</v>
      </c>
      <c r="B691" s="556">
        <v>1</v>
      </c>
      <c r="C691" t="s">
        <v>1503</v>
      </c>
      <c r="D691" s="1080" t="s">
        <v>1611</v>
      </c>
      <c r="E691" s="556">
        <f ca="1">VLOOKUP(A691,Data!C:I,7,FALSE)</f>
        <v>0</v>
      </c>
      <c r="F691" s="636" t="str">
        <f t="shared" si="68"/>
        <v>RS.AN-51</v>
      </c>
      <c r="G691" s="636" t="str">
        <f t="shared" ca="1" si="69"/>
        <v>RS.AN-510</v>
      </c>
    </row>
    <row r="692" spans="1:7" x14ac:dyDescent="0.25">
      <c r="A692" t="s">
        <v>177</v>
      </c>
      <c r="B692" s="556">
        <v>1</v>
      </c>
      <c r="C692" t="s">
        <v>446</v>
      </c>
      <c r="D692" s="1079" t="s">
        <v>1609</v>
      </c>
      <c r="E692" s="556">
        <f ca="1">VLOOKUP(A692,Data!C:I,7,FALSE)</f>
        <v>0</v>
      </c>
      <c r="F692" s="636" t="str">
        <f t="shared" si="68"/>
        <v>ID.RA-11</v>
      </c>
      <c r="G692" s="636" t="str">
        <f t="shared" ca="1" si="69"/>
        <v>ID.RA-110</v>
      </c>
    </row>
    <row r="693" spans="1:7" x14ac:dyDescent="0.25">
      <c r="A693" t="s">
        <v>177</v>
      </c>
      <c r="B693" s="556">
        <v>1</v>
      </c>
      <c r="C693" t="s">
        <v>1502</v>
      </c>
      <c r="D693" s="1076" t="s">
        <v>1603</v>
      </c>
      <c r="E693" s="556">
        <f ca="1">VLOOKUP(A693,Data!C:I,7,FALSE)</f>
        <v>0</v>
      </c>
      <c r="F693" s="636" t="str">
        <f t="shared" si="68"/>
        <v>DE.CM-81</v>
      </c>
      <c r="G693" s="636" t="str">
        <f t="shared" ca="1" si="69"/>
        <v>DE.CM-810</v>
      </c>
    </row>
    <row r="694" spans="1:7" x14ac:dyDescent="0.25">
      <c r="A694" t="s">
        <v>177</v>
      </c>
      <c r="B694" s="556">
        <v>1</v>
      </c>
      <c r="C694" t="s">
        <v>1502</v>
      </c>
      <c r="D694" s="1076" t="s">
        <v>1588</v>
      </c>
      <c r="E694" s="556">
        <f ca="1">VLOOKUP(A694,Data!C:I,7,FALSE)</f>
        <v>0</v>
      </c>
      <c r="F694" s="636" t="str">
        <f t="shared" si="68"/>
        <v>DE.DP-31</v>
      </c>
      <c r="G694" s="636" t="str">
        <f t="shared" ca="1" si="69"/>
        <v>DE.DP-310</v>
      </c>
    </row>
    <row r="695" spans="1:7" x14ac:dyDescent="0.25">
      <c r="A695" t="s">
        <v>178</v>
      </c>
      <c r="B695" s="556">
        <v>1</v>
      </c>
      <c r="C695" t="s">
        <v>1503</v>
      </c>
      <c r="D695" s="1080" t="s">
        <v>1601</v>
      </c>
      <c r="E695" s="556">
        <f ca="1">VLOOKUP(A695,Data!C:I,7,FALSE)</f>
        <v>0</v>
      </c>
      <c r="F695" s="636" t="str">
        <f t="shared" si="68"/>
        <v>RS.MI-31</v>
      </c>
      <c r="G695" s="636" t="str">
        <f t="shared" ca="1" si="69"/>
        <v>RS.MI-310</v>
      </c>
    </row>
    <row r="696" spans="1:7" x14ac:dyDescent="0.25">
      <c r="A696" t="s">
        <v>179</v>
      </c>
      <c r="B696" s="556">
        <v>2</v>
      </c>
      <c r="C696" t="s">
        <v>446</v>
      </c>
      <c r="D696" s="1079" t="s">
        <v>1609</v>
      </c>
      <c r="E696" s="556">
        <f ca="1">VLOOKUP(A696,Data!C:I,7,FALSE)</f>
        <v>0</v>
      </c>
      <c r="F696" s="636" t="str">
        <f t="shared" si="68"/>
        <v>ID.RA-12</v>
      </c>
      <c r="G696" s="636" t="str">
        <f t="shared" ca="1" si="69"/>
        <v>ID.RA-120</v>
      </c>
    </row>
    <row r="697" spans="1:7" x14ac:dyDescent="0.25">
      <c r="A697" t="s">
        <v>179</v>
      </c>
      <c r="B697" s="556">
        <v>2</v>
      </c>
      <c r="C697" t="s">
        <v>1503</v>
      </c>
      <c r="D697" s="1083" t="s">
        <v>1611</v>
      </c>
      <c r="E697" s="556">
        <f ca="1">VLOOKUP(A697,Data!C:I,7,FALSE)</f>
        <v>0</v>
      </c>
      <c r="F697" s="636" t="str">
        <f t="shared" si="68"/>
        <v>RS.AN-52</v>
      </c>
      <c r="G697" s="636" t="str">
        <f t="shared" ca="1" si="69"/>
        <v>RS.AN-520</v>
      </c>
    </row>
    <row r="698" spans="1:7" x14ac:dyDescent="0.25">
      <c r="A698" t="s">
        <v>180</v>
      </c>
      <c r="B698" s="556">
        <v>2</v>
      </c>
      <c r="C698" t="s">
        <v>446</v>
      </c>
      <c r="D698" s="1079" t="s">
        <v>1609</v>
      </c>
      <c r="E698" s="556">
        <f ca="1">VLOOKUP(A698,Data!C:I,7,FALSE)</f>
        <v>0</v>
      </c>
      <c r="F698" s="636" t="str">
        <f t="shared" si="68"/>
        <v>ID.RA-12</v>
      </c>
      <c r="G698" s="636" t="str">
        <f t="shared" ca="1" si="69"/>
        <v>ID.RA-120</v>
      </c>
    </row>
    <row r="699" spans="1:7" x14ac:dyDescent="0.25">
      <c r="A699" t="s">
        <v>180</v>
      </c>
      <c r="B699" s="556">
        <v>2</v>
      </c>
      <c r="C699" t="s">
        <v>1502</v>
      </c>
      <c r="D699" s="1076" t="s">
        <v>1603</v>
      </c>
      <c r="E699" s="556">
        <f ca="1">VLOOKUP(A699,Data!C:I,7,FALSE)</f>
        <v>0</v>
      </c>
      <c r="F699" s="636" t="str">
        <f t="shared" si="68"/>
        <v>DE.CM-82</v>
      </c>
      <c r="G699" s="636" t="str">
        <f t="shared" ca="1" si="69"/>
        <v>DE.CM-820</v>
      </c>
    </row>
    <row r="700" spans="1:7" x14ac:dyDescent="0.25">
      <c r="A700" t="s">
        <v>181</v>
      </c>
      <c r="B700" s="556">
        <v>2</v>
      </c>
      <c r="C700" t="s">
        <v>1503</v>
      </c>
      <c r="D700" s="1080" t="s">
        <v>1611</v>
      </c>
      <c r="E700" s="556">
        <f ca="1">VLOOKUP(A700,Data!C:I,7,FALSE)</f>
        <v>0</v>
      </c>
      <c r="F700" s="636" t="str">
        <f t="shared" si="68"/>
        <v>RS.AN-52</v>
      </c>
      <c r="G700" s="636" t="str">
        <f t="shared" ca="1" si="69"/>
        <v>RS.AN-520</v>
      </c>
    </row>
    <row r="701" spans="1:7" x14ac:dyDescent="0.25">
      <c r="A701" t="s">
        <v>181</v>
      </c>
      <c r="B701" s="556">
        <v>2</v>
      </c>
      <c r="C701" t="s">
        <v>1503</v>
      </c>
      <c r="D701" s="1080" t="s">
        <v>1601</v>
      </c>
      <c r="E701" s="556">
        <f ca="1">VLOOKUP(A701,Data!C:I,7,FALSE)</f>
        <v>0</v>
      </c>
      <c r="F701" s="636" t="str">
        <f t="shared" si="68"/>
        <v>RS.MI-32</v>
      </c>
      <c r="G701" s="636" t="str">
        <f t="shared" ca="1" si="69"/>
        <v>RS.MI-320</v>
      </c>
    </row>
    <row r="702" spans="1:7" x14ac:dyDescent="0.25">
      <c r="A702" t="s">
        <v>183</v>
      </c>
      <c r="B702" s="556">
        <v>2</v>
      </c>
      <c r="C702" t="s">
        <v>1503</v>
      </c>
      <c r="D702" s="1080" t="s">
        <v>1575</v>
      </c>
      <c r="E702" s="556">
        <f ca="1">VLOOKUP(A702,Data!C:I,7,FALSE)</f>
        <v>0</v>
      </c>
      <c r="F702" s="636" t="str">
        <f t="shared" si="68"/>
        <v>RS.CO-32</v>
      </c>
      <c r="G702" s="636" t="str">
        <f t="shared" ca="1" si="69"/>
        <v>RS.CO-320</v>
      </c>
    </row>
    <row r="703" spans="1:7" x14ac:dyDescent="0.25">
      <c r="A703" t="s">
        <v>183</v>
      </c>
      <c r="B703" s="556">
        <v>2</v>
      </c>
      <c r="C703" t="s">
        <v>1503</v>
      </c>
      <c r="D703" s="1080" t="s">
        <v>1606</v>
      </c>
      <c r="E703" s="556">
        <f ca="1">VLOOKUP(A703,Data!C:I,7,FALSE)</f>
        <v>0</v>
      </c>
      <c r="F703" s="636" t="str">
        <f t="shared" si="68"/>
        <v>RS.CO-52</v>
      </c>
      <c r="G703" s="636" t="str">
        <f t="shared" ca="1" si="69"/>
        <v>RS.CO-520</v>
      </c>
    </row>
    <row r="704" spans="1:7" x14ac:dyDescent="0.25">
      <c r="A704" t="s">
        <v>184</v>
      </c>
      <c r="B704" s="556">
        <v>3</v>
      </c>
      <c r="C704" t="s">
        <v>446</v>
      </c>
      <c r="D704" s="1079" t="s">
        <v>1609</v>
      </c>
      <c r="E704" s="556">
        <f ca="1">VLOOKUP(A704,Data!C:I,7,FALSE)</f>
        <v>0</v>
      </c>
      <c r="F704" s="636" t="str">
        <f t="shared" si="68"/>
        <v>ID.RA-13</v>
      </c>
      <c r="G704" s="636" t="str">
        <f t="shared" ca="1" si="69"/>
        <v>ID.RA-130</v>
      </c>
    </row>
    <row r="705" spans="1:7" x14ac:dyDescent="0.25">
      <c r="A705" t="s">
        <v>184</v>
      </c>
      <c r="B705" s="556">
        <v>3</v>
      </c>
      <c r="C705" t="s">
        <v>446</v>
      </c>
      <c r="D705" s="1079" t="s">
        <v>1610</v>
      </c>
      <c r="E705" s="556">
        <f ca="1">VLOOKUP(A705,Data!C:I,7,FALSE)</f>
        <v>0</v>
      </c>
      <c r="F705" s="636" t="str">
        <f t="shared" si="68"/>
        <v>ID.RA-23</v>
      </c>
      <c r="G705" s="636" t="str">
        <f t="shared" ca="1" si="69"/>
        <v>ID.RA-230</v>
      </c>
    </row>
    <row r="706" spans="1:7" x14ac:dyDescent="0.25">
      <c r="A706" t="s">
        <v>184</v>
      </c>
      <c r="B706" s="556">
        <v>3</v>
      </c>
      <c r="C706" t="s">
        <v>1503</v>
      </c>
      <c r="D706" s="1080" t="s">
        <v>1611</v>
      </c>
      <c r="E706" s="556">
        <f ca="1">VLOOKUP(A706,Data!C:I,7,FALSE)</f>
        <v>0</v>
      </c>
      <c r="F706" s="636" t="str">
        <f t="shared" si="68"/>
        <v>RS.AN-53</v>
      </c>
      <c r="G706" s="636" t="str">
        <f t="shared" ca="1" si="69"/>
        <v>RS.AN-530</v>
      </c>
    </row>
    <row r="707" spans="1:7" x14ac:dyDescent="0.25">
      <c r="A707" t="s">
        <v>187</v>
      </c>
      <c r="B707" s="556">
        <v>3</v>
      </c>
      <c r="C707" t="s">
        <v>1503</v>
      </c>
      <c r="D707" s="1080" t="s">
        <v>1611</v>
      </c>
      <c r="E707" s="556">
        <f ca="1">VLOOKUP(A707,Data!C:I,7,FALSE)</f>
        <v>0</v>
      </c>
      <c r="F707" s="636" t="str">
        <f t="shared" ref="F707:F770" si="70">CONCATENATE($D707,$B707)</f>
        <v>RS.AN-53</v>
      </c>
      <c r="G707" s="636" t="str">
        <f t="shared" ref="G707:G770" ca="1" si="71">_xlfn.IFNA(CONCATENATE(F707,$E707),CONCATENATE(F707,$E707,0))</f>
        <v>RS.AN-530</v>
      </c>
    </row>
    <row r="708" spans="1:7" x14ac:dyDescent="0.25">
      <c r="A708" t="s">
        <v>2652</v>
      </c>
      <c r="B708" s="556">
        <v>3</v>
      </c>
      <c r="C708" t="s">
        <v>446</v>
      </c>
      <c r="D708" s="1079" t="s">
        <v>1610</v>
      </c>
      <c r="E708" s="556">
        <f ca="1">VLOOKUP(A708,Data!C:I,7,FALSE)</f>
        <v>0</v>
      </c>
      <c r="F708" s="636" t="str">
        <f t="shared" si="70"/>
        <v>ID.RA-23</v>
      </c>
      <c r="G708" s="636" t="str">
        <f t="shared" ca="1" si="71"/>
        <v>ID.RA-230</v>
      </c>
    </row>
    <row r="709" spans="1:7" x14ac:dyDescent="0.25">
      <c r="A709" t="s">
        <v>2652</v>
      </c>
      <c r="B709" s="556">
        <v>3</v>
      </c>
      <c r="C709" t="s">
        <v>1503</v>
      </c>
      <c r="D709" s="1080" t="s">
        <v>1606</v>
      </c>
      <c r="E709" s="556">
        <f ca="1">VLOOKUP(A709,Data!C:I,7,FALSE)</f>
        <v>0</v>
      </c>
      <c r="F709" s="636" t="str">
        <f t="shared" si="70"/>
        <v>RS.CO-53</v>
      </c>
      <c r="G709" s="636" t="str">
        <f t="shared" ca="1" si="71"/>
        <v>RS.CO-530</v>
      </c>
    </row>
    <row r="710" spans="1:7" x14ac:dyDescent="0.25">
      <c r="A710" t="s">
        <v>2652</v>
      </c>
      <c r="B710" s="556">
        <v>3</v>
      </c>
      <c r="C710" t="s">
        <v>1503</v>
      </c>
      <c r="D710" s="1080" t="s">
        <v>1611</v>
      </c>
      <c r="E710" s="556">
        <f ca="1">VLOOKUP(A710,Data!C:I,7,FALSE)</f>
        <v>0</v>
      </c>
      <c r="F710" s="636" t="str">
        <f t="shared" si="70"/>
        <v>RS.AN-53</v>
      </c>
      <c r="G710" s="636" t="str">
        <f t="shared" ca="1" si="71"/>
        <v>RS.AN-530</v>
      </c>
    </row>
    <row r="711" spans="1:7" x14ac:dyDescent="0.25">
      <c r="A711" t="s">
        <v>189</v>
      </c>
      <c r="B711" s="556">
        <v>1</v>
      </c>
      <c r="C711" t="s">
        <v>446</v>
      </c>
      <c r="D711" s="1079" t="s">
        <v>1610</v>
      </c>
      <c r="E711" s="556">
        <f ca="1">VLOOKUP(A711,Data!C:I,7,FALSE)</f>
        <v>0</v>
      </c>
      <c r="F711" s="636" t="str">
        <f t="shared" si="70"/>
        <v>ID.RA-21</v>
      </c>
      <c r="G711" s="636" t="str">
        <f t="shared" ca="1" si="71"/>
        <v>ID.RA-210</v>
      </c>
    </row>
    <row r="712" spans="1:7" x14ac:dyDescent="0.25">
      <c r="A712" t="s">
        <v>189</v>
      </c>
      <c r="B712" s="556">
        <v>1</v>
      </c>
      <c r="C712" t="s">
        <v>1503</v>
      </c>
      <c r="D712" s="1080" t="s">
        <v>1611</v>
      </c>
      <c r="E712" s="556">
        <f ca="1">VLOOKUP(A712,Data!C:I,7,FALSE)</f>
        <v>0</v>
      </c>
      <c r="F712" s="636" t="str">
        <f t="shared" si="70"/>
        <v>RS.AN-51</v>
      </c>
      <c r="G712" s="636" t="str">
        <f t="shared" ca="1" si="71"/>
        <v>RS.AN-510</v>
      </c>
    </row>
    <row r="713" spans="1:7" x14ac:dyDescent="0.25">
      <c r="A713" t="s">
        <v>190</v>
      </c>
      <c r="B713" s="556">
        <v>1</v>
      </c>
      <c r="C713" t="s">
        <v>446</v>
      </c>
      <c r="D713" s="1079" t="s">
        <v>1610</v>
      </c>
      <c r="E713" s="556">
        <f ca="1">VLOOKUP(A713,Data!C:I,7,FALSE)</f>
        <v>0</v>
      </c>
      <c r="F713" s="636" t="str">
        <f t="shared" si="70"/>
        <v>ID.RA-21</v>
      </c>
      <c r="G713" s="636" t="str">
        <f t="shared" ca="1" si="71"/>
        <v>ID.RA-210</v>
      </c>
    </row>
    <row r="714" spans="1:7" x14ac:dyDescent="0.25">
      <c r="A714" t="s">
        <v>190</v>
      </c>
      <c r="B714" s="556">
        <v>1</v>
      </c>
      <c r="C714" t="s">
        <v>446</v>
      </c>
      <c r="D714" s="1079" t="s">
        <v>1612</v>
      </c>
      <c r="E714" s="556">
        <f ca="1">VLOOKUP(A714,Data!C:I,7,FALSE)</f>
        <v>0</v>
      </c>
      <c r="F714" s="636" t="str">
        <f t="shared" si="70"/>
        <v>ID.RA-31</v>
      </c>
      <c r="G714" s="636" t="str">
        <f t="shared" ca="1" si="71"/>
        <v>ID.RA-310</v>
      </c>
    </row>
    <row r="715" spans="1:7" x14ac:dyDescent="0.25">
      <c r="A715" t="s">
        <v>190</v>
      </c>
      <c r="B715" s="556">
        <v>1</v>
      </c>
      <c r="C715" t="s">
        <v>1503</v>
      </c>
      <c r="D715" s="1080" t="s">
        <v>1611</v>
      </c>
      <c r="E715" s="556">
        <f ca="1">VLOOKUP(A715,Data!C:I,7,FALSE)</f>
        <v>0</v>
      </c>
      <c r="F715" s="636" t="str">
        <f t="shared" si="70"/>
        <v>RS.AN-51</v>
      </c>
      <c r="G715" s="636" t="str">
        <f t="shared" ca="1" si="71"/>
        <v>RS.AN-510</v>
      </c>
    </row>
    <row r="716" spans="1:7" x14ac:dyDescent="0.25">
      <c r="A716" t="s">
        <v>191</v>
      </c>
      <c r="B716" s="556">
        <v>1</v>
      </c>
      <c r="C716" t="s">
        <v>446</v>
      </c>
      <c r="D716" s="1079" t="s">
        <v>1612</v>
      </c>
      <c r="E716" s="556">
        <f ca="1">VLOOKUP(A716,Data!C:I,7,FALSE)</f>
        <v>0</v>
      </c>
      <c r="F716" s="636" t="str">
        <f t="shared" si="70"/>
        <v>ID.RA-31</v>
      </c>
      <c r="G716" s="636" t="str">
        <f t="shared" ca="1" si="71"/>
        <v>ID.RA-310</v>
      </c>
    </row>
    <row r="717" spans="1:7" x14ac:dyDescent="0.25">
      <c r="A717" t="s">
        <v>192</v>
      </c>
      <c r="B717" s="556">
        <v>1</v>
      </c>
      <c r="C717" t="s">
        <v>446</v>
      </c>
      <c r="D717" s="1079" t="s">
        <v>1612</v>
      </c>
      <c r="E717" s="556">
        <f ca="1">VLOOKUP(A717,Data!C:I,7,FALSE)</f>
        <v>0</v>
      </c>
      <c r="F717" s="636" t="str">
        <f t="shared" si="70"/>
        <v>ID.RA-31</v>
      </c>
      <c r="G717" s="636" t="str">
        <f t="shared" ca="1" si="71"/>
        <v>ID.RA-310</v>
      </c>
    </row>
    <row r="718" spans="1:7" x14ac:dyDescent="0.25">
      <c r="A718" t="s">
        <v>192</v>
      </c>
      <c r="B718" s="556">
        <v>1</v>
      </c>
      <c r="C718" t="s">
        <v>446</v>
      </c>
      <c r="D718" s="1079" t="s">
        <v>1552</v>
      </c>
      <c r="E718" s="556">
        <f ca="1">VLOOKUP(A718,Data!C:I,7,FALSE)</f>
        <v>0</v>
      </c>
      <c r="F718" s="636" t="str">
        <f t="shared" si="70"/>
        <v>ID.RA-51</v>
      </c>
      <c r="G718" s="636" t="str">
        <f t="shared" ca="1" si="71"/>
        <v>ID.RA-510</v>
      </c>
    </row>
    <row r="719" spans="1:7" x14ac:dyDescent="0.25">
      <c r="A719" t="s">
        <v>193</v>
      </c>
      <c r="B719" s="556">
        <v>2</v>
      </c>
      <c r="C719" t="s">
        <v>446</v>
      </c>
      <c r="D719" s="1079" t="s">
        <v>1612</v>
      </c>
      <c r="E719" s="556">
        <f ca="1">VLOOKUP(A719,Data!C:I,7,FALSE)</f>
        <v>0</v>
      </c>
      <c r="F719" s="636" t="str">
        <f t="shared" si="70"/>
        <v>ID.RA-32</v>
      </c>
      <c r="G719" s="636" t="str">
        <f t="shared" ca="1" si="71"/>
        <v>ID.RA-320</v>
      </c>
    </row>
    <row r="720" spans="1:7" x14ac:dyDescent="0.25">
      <c r="A720" t="s">
        <v>195</v>
      </c>
      <c r="B720" s="556">
        <v>2</v>
      </c>
      <c r="C720" t="s">
        <v>446</v>
      </c>
      <c r="D720" s="1079" t="s">
        <v>1552</v>
      </c>
      <c r="E720" s="556">
        <f ca="1">VLOOKUP(A720,Data!C:I,7,FALSE)</f>
        <v>0</v>
      </c>
      <c r="F720" s="636" t="str">
        <f t="shared" si="70"/>
        <v>ID.RA-52</v>
      </c>
      <c r="G720" s="636" t="str">
        <f t="shared" ca="1" si="71"/>
        <v>ID.RA-520</v>
      </c>
    </row>
    <row r="721" spans="1:7" x14ac:dyDescent="0.25">
      <c r="A721" t="s">
        <v>196</v>
      </c>
      <c r="B721" s="556">
        <v>2</v>
      </c>
      <c r="C721" t="s">
        <v>446</v>
      </c>
      <c r="D721" s="1078" t="s">
        <v>1610</v>
      </c>
      <c r="E721" s="556">
        <f ca="1">VLOOKUP(A721,Data!C:I,7,FALSE)</f>
        <v>0</v>
      </c>
      <c r="F721" s="636" t="str">
        <f t="shared" si="70"/>
        <v>ID.RA-22</v>
      </c>
      <c r="G721" s="636" t="str">
        <f t="shared" ca="1" si="71"/>
        <v>ID.RA-220</v>
      </c>
    </row>
    <row r="722" spans="1:7" x14ac:dyDescent="0.25">
      <c r="A722" t="s">
        <v>196</v>
      </c>
      <c r="B722" s="556">
        <v>2</v>
      </c>
      <c r="C722" t="s">
        <v>1502</v>
      </c>
      <c r="D722" s="1076" t="s">
        <v>1579</v>
      </c>
      <c r="E722" s="556">
        <f ca="1">VLOOKUP(A722,Data!C:I,7,FALSE)</f>
        <v>0</v>
      </c>
      <c r="F722" s="636" t="str">
        <f t="shared" si="70"/>
        <v>DE.DP-42</v>
      </c>
      <c r="G722" s="636" t="str">
        <f t="shared" ca="1" si="71"/>
        <v>DE.DP-420</v>
      </c>
    </row>
    <row r="723" spans="1:7" x14ac:dyDescent="0.25">
      <c r="A723" t="s">
        <v>196</v>
      </c>
      <c r="B723" s="556">
        <v>2</v>
      </c>
      <c r="C723" t="s">
        <v>1503</v>
      </c>
      <c r="D723" s="1080" t="s">
        <v>1606</v>
      </c>
      <c r="E723" s="556">
        <f ca="1">VLOOKUP(A723,Data!C:I,7,FALSE)</f>
        <v>0</v>
      </c>
      <c r="F723" s="636" t="str">
        <f t="shared" si="70"/>
        <v>RS.CO-52</v>
      </c>
      <c r="G723" s="636" t="str">
        <f t="shared" ca="1" si="71"/>
        <v>RS.CO-520</v>
      </c>
    </row>
    <row r="724" spans="1:7" x14ac:dyDescent="0.25">
      <c r="A724" t="s">
        <v>201</v>
      </c>
      <c r="B724" s="556">
        <v>3</v>
      </c>
      <c r="C724" t="s">
        <v>446</v>
      </c>
      <c r="D724" s="1079" t="s">
        <v>1610</v>
      </c>
      <c r="E724" s="556">
        <f ca="1">VLOOKUP(A724,Data!C:I,7,FALSE)</f>
        <v>0</v>
      </c>
      <c r="F724" s="636" t="str">
        <f t="shared" si="70"/>
        <v>ID.RA-23</v>
      </c>
      <c r="G724" s="636" t="str">
        <f t="shared" ca="1" si="71"/>
        <v>ID.RA-230</v>
      </c>
    </row>
    <row r="725" spans="1:7" x14ac:dyDescent="0.25">
      <c r="A725" t="s">
        <v>205</v>
      </c>
      <c r="B725" s="556">
        <v>2</v>
      </c>
      <c r="C725" t="s">
        <v>1501</v>
      </c>
      <c r="D725" s="1075" t="s">
        <v>1614</v>
      </c>
      <c r="E725" s="556">
        <f ca="1">VLOOKUP(A725,Data!C:I,7,FALSE)</f>
        <v>0</v>
      </c>
      <c r="F725" s="636" t="str">
        <f t="shared" si="70"/>
        <v>PR.IP-122</v>
      </c>
      <c r="G725" s="636" t="str">
        <f t="shared" ca="1" si="71"/>
        <v>PR.IP-1220</v>
      </c>
    </row>
    <row r="726" spans="1:7" x14ac:dyDescent="0.25">
      <c r="A726" t="s">
        <v>205</v>
      </c>
      <c r="B726" s="556">
        <v>2</v>
      </c>
      <c r="C726" t="s">
        <v>1503</v>
      </c>
      <c r="D726" s="1080" t="s">
        <v>1611</v>
      </c>
      <c r="E726" s="556">
        <f ca="1">VLOOKUP(A726,Data!C:I,7,FALSE)</f>
        <v>0</v>
      </c>
      <c r="F726" s="636" t="str">
        <f t="shared" si="70"/>
        <v>RS.AN-52</v>
      </c>
      <c r="G726" s="636" t="str">
        <f t="shared" ca="1" si="71"/>
        <v>RS.AN-520</v>
      </c>
    </row>
    <row r="727" spans="1:7" x14ac:dyDescent="0.25">
      <c r="A727" t="s">
        <v>207</v>
      </c>
      <c r="B727" s="556">
        <v>3</v>
      </c>
      <c r="C727" t="s">
        <v>446</v>
      </c>
      <c r="D727" s="1079" t="s">
        <v>1562</v>
      </c>
      <c r="E727" s="556">
        <f ca="1">VLOOKUP(A727,Data!C:I,7,FALSE)</f>
        <v>0</v>
      </c>
      <c r="F727" s="636" t="str">
        <f t="shared" si="70"/>
        <v>ID.GV-13</v>
      </c>
      <c r="G727" s="636" t="str">
        <f t="shared" ca="1" si="71"/>
        <v>ID.GV-130</v>
      </c>
    </row>
    <row r="728" spans="1:7" x14ac:dyDescent="0.25">
      <c r="A728" t="s">
        <v>207</v>
      </c>
      <c r="B728" s="556">
        <v>3</v>
      </c>
      <c r="C728" t="s">
        <v>446</v>
      </c>
      <c r="D728" s="1079" t="s">
        <v>1576</v>
      </c>
      <c r="E728" s="556">
        <f ca="1">VLOOKUP(A728,Data!C:I,7,FALSE)</f>
        <v>0</v>
      </c>
      <c r="F728" s="636" t="str">
        <f t="shared" si="70"/>
        <v>ID.GV-33</v>
      </c>
      <c r="G728" s="636" t="str">
        <f t="shared" ca="1" si="71"/>
        <v>ID.GV-330</v>
      </c>
    </row>
    <row r="729" spans="1:7" x14ac:dyDescent="0.25">
      <c r="A729" t="s">
        <v>207</v>
      </c>
      <c r="B729" s="556">
        <v>3</v>
      </c>
      <c r="C729" t="s">
        <v>1501</v>
      </c>
      <c r="D729" s="1075" t="s">
        <v>1614</v>
      </c>
      <c r="E729" s="556">
        <f ca="1">VLOOKUP(A729,Data!C:I,7,FALSE)</f>
        <v>0</v>
      </c>
      <c r="F729" s="636" t="str">
        <f t="shared" si="70"/>
        <v>PR.IP-123</v>
      </c>
      <c r="G729" s="636" t="str">
        <f t="shared" ca="1" si="71"/>
        <v>PR.IP-1230</v>
      </c>
    </row>
    <row r="730" spans="1:7" x14ac:dyDescent="0.25">
      <c r="A730" t="s">
        <v>208</v>
      </c>
      <c r="B730" s="556">
        <v>3</v>
      </c>
      <c r="C730" t="s">
        <v>446</v>
      </c>
      <c r="D730" s="1079" t="s">
        <v>1529</v>
      </c>
      <c r="E730" s="556">
        <f ca="1">VLOOKUP(A730,Data!C:I,7,FALSE)</f>
        <v>0</v>
      </c>
      <c r="F730" s="636" t="str">
        <f t="shared" si="70"/>
        <v>ID.AM-63</v>
      </c>
      <c r="G730" s="636" t="str">
        <f t="shared" ca="1" si="71"/>
        <v>ID.AM-630</v>
      </c>
    </row>
    <row r="731" spans="1:7" x14ac:dyDescent="0.25">
      <c r="A731" t="s">
        <v>208</v>
      </c>
      <c r="B731" s="556">
        <v>3</v>
      </c>
      <c r="C731" t="s">
        <v>446</v>
      </c>
      <c r="D731" s="1079" t="s">
        <v>1562</v>
      </c>
      <c r="E731" s="556">
        <f ca="1">VLOOKUP(A731,Data!C:I,7,FALSE)</f>
        <v>0</v>
      </c>
      <c r="F731" s="636" t="str">
        <f t="shared" si="70"/>
        <v>ID.GV-13</v>
      </c>
      <c r="G731" s="636" t="str">
        <f t="shared" ca="1" si="71"/>
        <v>ID.GV-130</v>
      </c>
    </row>
    <row r="732" spans="1:7" x14ac:dyDescent="0.25">
      <c r="A732" t="s">
        <v>208</v>
      </c>
      <c r="B732" s="556">
        <v>3</v>
      </c>
      <c r="C732" t="s">
        <v>446</v>
      </c>
      <c r="D732" s="1079" t="s">
        <v>1530</v>
      </c>
      <c r="E732" s="556">
        <f ca="1">VLOOKUP(A732,Data!C:I,7,FALSE)</f>
        <v>0</v>
      </c>
      <c r="F732" s="636" t="str">
        <f t="shared" si="70"/>
        <v>ID.GV-23</v>
      </c>
      <c r="G732" s="636" t="str">
        <f t="shared" ca="1" si="71"/>
        <v>ID.GV-230</v>
      </c>
    </row>
    <row r="733" spans="1:7" x14ac:dyDescent="0.25">
      <c r="A733" t="s">
        <v>208</v>
      </c>
      <c r="B733" s="556">
        <v>3</v>
      </c>
      <c r="C733" t="s">
        <v>446</v>
      </c>
      <c r="D733" s="1079" t="s">
        <v>1576</v>
      </c>
      <c r="E733" s="556">
        <f ca="1">VLOOKUP(A733,Data!C:I,7,FALSE)</f>
        <v>0</v>
      </c>
      <c r="F733" s="636" t="str">
        <f t="shared" si="70"/>
        <v>ID.GV-33</v>
      </c>
      <c r="G733" s="636" t="str">
        <f t="shared" ca="1" si="71"/>
        <v>ID.GV-330</v>
      </c>
    </row>
    <row r="734" spans="1:7" x14ac:dyDescent="0.25">
      <c r="A734" t="s">
        <v>208</v>
      </c>
      <c r="B734" s="556">
        <v>3</v>
      </c>
      <c r="C734" t="s">
        <v>1501</v>
      </c>
      <c r="D734" s="1075" t="s">
        <v>1615</v>
      </c>
      <c r="E734" s="556">
        <f ca="1">VLOOKUP(A734,Data!C:I,7,FALSE)</f>
        <v>0</v>
      </c>
      <c r="F734" s="636" t="str">
        <f t="shared" si="70"/>
        <v>PR.AT-23</v>
      </c>
      <c r="G734" s="636" t="str">
        <f t="shared" ca="1" si="71"/>
        <v>PR.AT-230</v>
      </c>
    </row>
    <row r="735" spans="1:7" x14ac:dyDescent="0.25">
      <c r="A735" t="s">
        <v>208</v>
      </c>
      <c r="B735" s="556">
        <v>3</v>
      </c>
      <c r="C735" t="s">
        <v>1501</v>
      </c>
      <c r="D735" s="1075" t="s">
        <v>1616</v>
      </c>
      <c r="E735" s="556">
        <f ca="1">VLOOKUP(A735,Data!C:I,7,FALSE)</f>
        <v>0</v>
      </c>
      <c r="F735" s="636" t="str">
        <f t="shared" si="70"/>
        <v>PR.AT-33</v>
      </c>
      <c r="G735" s="636" t="str">
        <f t="shared" ca="1" si="71"/>
        <v>PR.AT-330</v>
      </c>
    </row>
    <row r="736" spans="1:7" x14ac:dyDescent="0.25">
      <c r="A736" t="s">
        <v>208</v>
      </c>
      <c r="B736" s="556">
        <v>3</v>
      </c>
      <c r="C736" t="s">
        <v>1501</v>
      </c>
      <c r="D736" s="1075" t="s">
        <v>1565</v>
      </c>
      <c r="E736" s="556">
        <f ca="1">VLOOKUP(A736,Data!C:I,7,FALSE)</f>
        <v>0</v>
      </c>
      <c r="F736" s="636" t="str">
        <f t="shared" si="70"/>
        <v>PR.AT-43</v>
      </c>
      <c r="G736" s="636" t="str">
        <f t="shared" ca="1" si="71"/>
        <v>PR.AT-430</v>
      </c>
    </row>
    <row r="737" spans="1:7" x14ac:dyDescent="0.25">
      <c r="A737" t="s">
        <v>208</v>
      </c>
      <c r="B737" s="556">
        <v>3</v>
      </c>
      <c r="C737" t="s">
        <v>1501</v>
      </c>
      <c r="D737" s="1075" t="s">
        <v>1617</v>
      </c>
      <c r="E737" s="556">
        <f ca="1">VLOOKUP(A737,Data!C:I,7,FALSE)</f>
        <v>0</v>
      </c>
      <c r="F737" s="636" t="str">
        <f t="shared" si="70"/>
        <v>PR.AT-53</v>
      </c>
      <c r="G737" s="636" t="str">
        <f t="shared" ca="1" si="71"/>
        <v>PR.AT-530</v>
      </c>
    </row>
    <row r="738" spans="1:7" x14ac:dyDescent="0.25">
      <c r="A738" t="s">
        <v>209</v>
      </c>
      <c r="B738" s="556">
        <v>3</v>
      </c>
      <c r="C738" t="s">
        <v>1501</v>
      </c>
      <c r="D738" s="1075" t="s">
        <v>1619</v>
      </c>
      <c r="E738" s="556">
        <f ca="1">VLOOKUP(A738,Data!C:I,7,FALSE)</f>
        <v>0</v>
      </c>
      <c r="F738" s="636" t="str">
        <f t="shared" si="70"/>
        <v>PR.AT-13</v>
      </c>
      <c r="G738" s="636" t="str">
        <f t="shared" ca="1" si="71"/>
        <v>PR.AT-130</v>
      </c>
    </row>
    <row r="739" spans="1:7" x14ac:dyDescent="0.25">
      <c r="A739" t="s">
        <v>210</v>
      </c>
      <c r="B739" s="556">
        <v>3</v>
      </c>
      <c r="C739" t="s">
        <v>1501</v>
      </c>
      <c r="D739" s="1075" t="s">
        <v>1781</v>
      </c>
      <c r="E739" s="556">
        <f ca="1">VLOOKUP(A739,Data!C:I,7,FALSE)</f>
        <v>0</v>
      </c>
      <c r="F739" s="636" t="str">
        <f t="shared" si="70"/>
        <v>PR.IP-73</v>
      </c>
      <c r="G739" s="636" t="str">
        <f t="shared" ca="1" si="71"/>
        <v>PR.IP-730</v>
      </c>
    </row>
    <row r="740" spans="1:7" x14ac:dyDescent="0.25">
      <c r="A740" t="s">
        <v>274</v>
      </c>
      <c r="B740" s="556">
        <v>1</v>
      </c>
      <c r="C740" t="s">
        <v>1501</v>
      </c>
      <c r="D740" s="1075" t="s">
        <v>1618</v>
      </c>
      <c r="E740" s="556">
        <f ca="1">VLOOKUP(A740,Data!C:I,7,FALSE)</f>
        <v>0</v>
      </c>
      <c r="F740" s="636" t="str">
        <f t="shared" si="70"/>
        <v>PR.IP-111</v>
      </c>
      <c r="G740" s="636" t="str">
        <f t="shared" ca="1" si="71"/>
        <v>PR.IP-1110</v>
      </c>
    </row>
    <row r="741" spans="1:7" x14ac:dyDescent="0.25">
      <c r="A741" t="s">
        <v>275</v>
      </c>
      <c r="B741" s="556">
        <v>1</v>
      </c>
      <c r="C741" t="s">
        <v>1501</v>
      </c>
      <c r="D741" s="1075" t="s">
        <v>1618</v>
      </c>
      <c r="E741" s="556">
        <f ca="1">VLOOKUP(A741,Data!C:I,7,FALSE)</f>
        <v>0</v>
      </c>
      <c r="F741" s="636" t="str">
        <f t="shared" si="70"/>
        <v>PR.IP-111</v>
      </c>
      <c r="G741" s="636" t="str">
        <f t="shared" ca="1" si="71"/>
        <v>PR.IP-1110</v>
      </c>
    </row>
    <row r="742" spans="1:7" x14ac:dyDescent="0.25">
      <c r="A742" t="s">
        <v>276</v>
      </c>
      <c r="B742" s="556">
        <v>2</v>
      </c>
      <c r="C742" t="s">
        <v>1501</v>
      </c>
      <c r="D742" s="1075" t="s">
        <v>1618</v>
      </c>
      <c r="E742" s="556">
        <f ca="1">VLOOKUP(A742,Data!C:I,7,FALSE)</f>
        <v>0</v>
      </c>
      <c r="F742" s="636" t="str">
        <f t="shared" si="70"/>
        <v>PR.IP-112</v>
      </c>
      <c r="G742" s="636" t="str">
        <f t="shared" ca="1" si="71"/>
        <v>PR.IP-1120</v>
      </c>
    </row>
    <row r="743" spans="1:7" x14ac:dyDescent="0.25">
      <c r="A743" t="s">
        <v>277</v>
      </c>
      <c r="B743" s="556">
        <v>2</v>
      </c>
      <c r="C743" t="s">
        <v>1501</v>
      </c>
      <c r="D743" s="1075" t="s">
        <v>1618</v>
      </c>
      <c r="E743" s="556">
        <f ca="1">VLOOKUP(A743,Data!C:I,7,FALSE)</f>
        <v>0</v>
      </c>
      <c r="F743" s="636" t="str">
        <f t="shared" si="70"/>
        <v>PR.IP-112</v>
      </c>
      <c r="G743" s="636" t="str">
        <f t="shared" ca="1" si="71"/>
        <v>PR.IP-1120</v>
      </c>
    </row>
    <row r="744" spans="1:7" x14ac:dyDescent="0.25">
      <c r="A744" t="s">
        <v>278</v>
      </c>
      <c r="B744" s="556">
        <v>2</v>
      </c>
      <c r="C744" t="s">
        <v>446</v>
      </c>
      <c r="D744" s="1079" t="s">
        <v>1529</v>
      </c>
      <c r="E744" s="556">
        <f ca="1">VLOOKUP(A744,Data!C:I,7,FALSE)</f>
        <v>0</v>
      </c>
      <c r="F744" s="636" t="str">
        <f t="shared" si="70"/>
        <v>ID.AM-62</v>
      </c>
      <c r="G744" s="636" t="str">
        <f t="shared" ca="1" si="71"/>
        <v>ID.AM-620</v>
      </c>
    </row>
    <row r="745" spans="1:7" x14ac:dyDescent="0.25">
      <c r="A745" t="s">
        <v>278</v>
      </c>
      <c r="B745" s="556">
        <v>2</v>
      </c>
      <c r="C745" t="s">
        <v>1501</v>
      </c>
      <c r="D745" s="1075" t="s">
        <v>1619</v>
      </c>
      <c r="E745" s="556">
        <f ca="1">VLOOKUP(A745,Data!C:I,7,FALSE)</f>
        <v>0</v>
      </c>
      <c r="F745" s="636" t="str">
        <f t="shared" si="70"/>
        <v>PR.AT-12</v>
      </c>
      <c r="G745" s="636" t="str">
        <f t="shared" ca="1" si="71"/>
        <v>PR.AT-120</v>
      </c>
    </row>
    <row r="746" spans="1:7" x14ac:dyDescent="0.25">
      <c r="A746" t="s">
        <v>278</v>
      </c>
      <c r="B746" s="556">
        <v>2</v>
      </c>
      <c r="C746" t="s">
        <v>1501</v>
      </c>
      <c r="D746" s="1075" t="s">
        <v>1615</v>
      </c>
      <c r="E746" s="556">
        <f ca="1">VLOOKUP(A746,Data!C:I,7,FALSE)</f>
        <v>0</v>
      </c>
      <c r="F746" s="636" t="str">
        <f t="shared" si="70"/>
        <v>PR.AT-22</v>
      </c>
      <c r="G746" s="636" t="str">
        <f t="shared" ca="1" si="71"/>
        <v>PR.AT-220</v>
      </c>
    </row>
    <row r="747" spans="1:7" x14ac:dyDescent="0.25">
      <c r="A747" t="s">
        <v>278</v>
      </c>
      <c r="B747" s="556">
        <v>2</v>
      </c>
      <c r="C747" t="s">
        <v>1501</v>
      </c>
      <c r="D747" s="1075" t="s">
        <v>1616</v>
      </c>
      <c r="E747" s="556">
        <f ca="1">VLOOKUP(A747,Data!C:I,7,FALSE)</f>
        <v>0</v>
      </c>
      <c r="F747" s="636" t="str">
        <f t="shared" si="70"/>
        <v>PR.AT-32</v>
      </c>
      <c r="G747" s="636" t="str">
        <f t="shared" ca="1" si="71"/>
        <v>PR.AT-320</v>
      </c>
    </row>
    <row r="748" spans="1:7" x14ac:dyDescent="0.25">
      <c r="A748" t="s">
        <v>278</v>
      </c>
      <c r="B748" s="556">
        <v>2</v>
      </c>
      <c r="C748" t="s">
        <v>1501</v>
      </c>
      <c r="D748" s="1075" t="s">
        <v>1565</v>
      </c>
      <c r="E748" s="556">
        <f ca="1">VLOOKUP(A748,Data!C:I,7,FALSE)</f>
        <v>0</v>
      </c>
      <c r="F748" s="636" t="str">
        <f t="shared" si="70"/>
        <v>PR.AT-42</v>
      </c>
      <c r="G748" s="636" t="str">
        <f t="shared" ca="1" si="71"/>
        <v>PR.AT-420</v>
      </c>
    </row>
    <row r="749" spans="1:7" x14ac:dyDescent="0.25">
      <c r="A749" t="s">
        <v>278</v>
      </c>
      <c r="B749" s="556">
        <v>2</v>
      </c>
      <c r="C749" t="s">
        <v>1501</v>
      </c>
      <c r="D749" s="1075" t="s">
        <v>1617</v>
      </c>
      <c r="E749" s="556">
        <f ca="1">VLOOKUP(A749,Data!C:I,7,FALSE)</f>
        <v>0</v>
      </c>
      <c r="F749" s="636" t="str">
        <f t="shared" si="70"/>
        <v>PR.AT-52</v>
      </c>
      <c r="G749" s="636" t="str">
        <f t="shared" ca="1" si="71"/>
        <v>PR.AT-520</v>
      </c>
    </row>
    <row r="750" spans="1:7" x14ac:dyDescent="0.25">
      <c r="A750" t="s">
        <v>278</v>
      </c>
      <c r="B750" s="556">
        <v>2</v>
      </c>
      <c r="C750" t="s">
        <v>1501</v>
      </c>
      <c r="D750" s="1075" t="s">
        <v>1535</v>
      </c>
      <c r="E750" s="556">
        <f ca="1">VLOOKUP(A750,Data!C:I,7,FALSE)</f>
        <v>0</v>
      </c>
      <c r="F750" s="636" t="str">
        <f t="shared" si="70"/>
        <v>PR.DS-52</v>
      </c>
      <c r="G750" s="636" t="str">
        <f t="shared" ca="1" si="71"/>
        <v>PR.DS-520</v>
      </c>
    </row>
    <row r="751" spans="1:7" x14ac:dyDescent="0.25">
      <c r="A751" t="s">
        <v>278</v>
      </c>
      <c r="B751" s="556">
        <v>2</v>
      </c>
      <c r="C751" t="s">
        <v>1501</v>
      </c>
      <c r="D751" s="1075" t="s">
        <v>1618</v>
      </c>
      <c r="E751" s="556">
        <f ca="1">VLOOKUP(A751,Data!C:I,7,FALSE)</f>
        <v>0</v>
      </c>
      <c r="F751" s="636" t="str">
        <f t="shared" si="70"/>
        <v>PR.IP-112</v>
      </c>
      <c r="G751" s="636" t="str">
        <f t="shared" ca="1" si="71"/>
        <v>PR.IP-1120</v>
      </c>
    </row>
    <row r="752" spans="1:7" x14ac:dyDescent="0.25">
      <c r="A752" t="s">
        <v>279</v>
      </c>
      <c r="B752" s="556">
        <v>3</v>
      </c>
      <c r="C752" t="s">
        <v>1501</v>
      </c>
      <c r="D752" s="1075" t="s">
        <v>1618</v>
      </c>
      <c r="E752" s="556">
        <f ca="1">VLOOKUP(A752,Data!C:I,7,FALSE)</f>
        <v>0</v>
      </c>
      <c r="F752" s="636" t="str">
        <f t="shared" si="70"/>
        <v>PR.IP-113</v>
      </c>
      <c r="G752" s="636" t="str">
        <f t="shared" ca="1" si="71"/>
        <v>PR.IP-1130</v>
      </c>
    </row>
    <row r="753" spans="1:7" x14ac:dyDescent="0.25">
      <c r="A753" t="s">
        <v>2653</v>
      </c>
      <c r="B753" s="556">
        <v>3</v>
      </c>
      <c r="C753" t="s">
        <v>1501</v>
      </c>
      <c r="D753" s="1075" t="s">
        <v>1618</v>
      </c>
      <c r="E753" s="556">
        <f ca="1">VLOOKUP(A753,Data!C:I,7,FALSE)</f>
        <v>0</v>
      </c>
      <c r="F753" s="636" t="str">
        <f t="shared" si="70"/>
        <v>PR.IP-113</v>
      </c>
      <c r="G753" s="636" t="str">
        <f t="shared" ca="1" si="71"/>
        <v>PR.IP-1130</v>
      </c>
    </row>
    <row r="754" spans="1:7" x14ac:dyDescent="0.25">
      <c r="A754" t="s">
        <v>280</v>
      </c>
      <c r="B754" s="556">
        <v>1</v>
      </c>
      <c r="C754" t="s">
        <v>1501</v>
      </c>
      <c r="D754" s="1075" t="s">
        <v>1619</v>
      </c>
      <c r="E754" s="556">
        <f ca="1">VLOOKUP(A754,Data!C:I,7,FALSE)</f>
        <v>0</v>
      </c>
      <c r="F754" s="636" t="str">
        <f t="shared" si="70"/>
        <v>PR.AT-11</v>
      </c>
      <c r="G754" s="636" t="str">
        <f t="shared" ca="1" si="71"/>
        <v>PR.AT-110</v>
      </c>
    </row>
    <row r="755" spans="1:7" x14ac:dyDescent="0.25">
      <c r="A755" t="s">
        <v>281</v>
      </c>
      <c r="B755" s="556">
        <v>2</v>
      </c>
      <c r="C755" t="s">
        <v>446</v>
      </c>
      <c r="D755" s="1079" t="s">
        <v>1562</v>
      </c>
      <c r="E755" s="556">
        <f ca="1">VLOOKUP(A755,Data!C:I,7,FALSE)</f>
        <v>0</v>
      </c>
      <c r="F755" s="636" t="str">
        <f t="shared" si="70"/>
        <v>ID.GV-12</v>
      </c>
      <c r="G755" s="636" t="str">
        <f t="shared" ca="1" si="71"/>
        <v>ID.GV-120</v>
      </c>
    </row>
    <row r="756" spans="1:7" x14ac:dyDescent="0.25">
      <c r="A756" t="s">
        <v>283</v>
      </c>
      <c r="B756" s="556">
        <v>2</v>
      </c>
      <c r="C756" t="s">
        <v>1501</v>
      </c>
      <c r="D756" s="1078" t="s">
        <v>1619</v>
      </c>
      <c r="E756" s="556">
        <f ca="1">VLOOKUP(A756,Data!C:I,7,FALSE)</f>
        <v>0</v>
      </c>
      <c r="F756" s="636" t="str">
        <f t="shared" si="70"/>
        <v>PR.AT-12</v>
      </c>
      <c r="G756" s="636" t="str">
        <f t="shared" ca="1" si="71"/>
        <v>PR.AT-120</v>
      </c>
    </row>
    <row r="757" spans="1:7" x14ac:dyDescent="0.25">
      <c r="A757" t="s">
        <v>286</v>
      </c>
      <c r="B757" s="556">
        <v>1</v>
      </c>
      <c r="C757" t="s">
        <v>446</v>
      </c>
      <c r="D757" s="1079" t="s">
        <v>1529</v>
      </c>
      <c r="E757" s="556">
        <f ca="1">VLOOKUP(A757,Data!C:I,7,FALSE)</f>
        <v>0</v>
      </c>
      <c r="F757" s="636" t="str">
        <f t="shared" si="70"/>
        <v>ID.AM-61</v>
      </c>
      <c r="G757" s="636" t="str">
        <f t="shared" ca="1" si="71"/>
        <v>ID.AM-610</v>
      </c>
    </row>
    <row r="758" spans="1:7" x14ac:dyDescent="0.25">
      <c r="A758" t="s">
        <v>286</v>
      </c>
      <c r="B758" s="556">
        <v>1</v>
      </c>
      <c r="C758" t="s">
        <v>1501</v>
      </c>
      <c r="D758" s="1075" t="s">
        <v>1618</v>
      </c>
      <c r="E758" s="556">
        <f ca="1">VLOOKUP(A758,Data!C:I,7,FALSE)</f>
        <v>0</v>
      </c>
      <c r="F758" s="636" t="str">
        <f t="shared" si="70"/>
        <v>PR.IP-111</v>
      </c>
      <c r="G758" s="636" t="str">
        <f t="shared" ca="1" si="71"/>
        <v>PR.IP-1110</v>
      </c>
    </row>
    <row r="759" spans="1:7" x14ac:dyDescent="0.25">
      <c r="A759" t="s">
        <v>286</v>
      </c>
      <c r="B759" s="556">
        <v>1</v>
      </c>
      <c r="C759" t="s">
        <v>1502</v>
      </c>
      <c r="D759" s="1076" t="s">
        <v>1578</v>
      </c>
      <c r="E759" s="556">
        <f ca="1">VLOOKUP(A759,Data!C:I,7,FALSE)</f>
        <v>0</v>
      </c>
      <c r="F759" s="636" t="str">
        <f t="shared" si="70"/>
        <v>DE.DP-11</v>
      </c>
      <c r="G759" s="636" t="str">
        <f t="shared" ca="1" si="71"/>
        <v>DE.DP-110</v>
      </c>
    </row>
    <row r="760" spans="1:7" x14ac:dyDescent="0.25">
      <c r="A760" t="s">
        <v>286</v>
      </c>
      <c r="B760" s="556">
        <v>1</v>
      </c>
      <c r="C760" t="s">
        <v>1503</v>
      </c>
      <c r="D760" s="1080" t="s">
        <v>1571</v>
      </c>
      <c r="E760" s="556">
        <f ca="1">VLOOKUP(A760,Data!C:I,7,FALSE)</f>
        <v>0</v>
      </c>
      <c r="F760" s="636" t="str">
        <f t="shared" si="70"/>
        <v>RS.CO-11</v>
      </c>
      <c r="G760" s="636" t="str">
        <f t="shared" ca="1" si="71"/>
        <v>RS.CO-110</v>
      </c>
    </row>
    <row r="761" spans="1:7" x14ac:dyDescent="0.25">
      <c r="A761" t="s">
        <v>287</v>
      </c>
      <c r="B761" s="556">
        <v>1</v>
      </c>
      <c r="C761" t="s">
        <v>446</v>
      </c>
      <c r="D761" s="1079" t="s">
        <v>1529</v>
      </c>
      <c r="E761" s="556">
        <f ca="1">VLOOKUP(A761,Data!C:I,7,FALSE)</f>
        <v>0</v>
      </c>
      <c r="F761" s="636" t="str">
        <f t="shared" si="70"/>
        <v>ID.AM-61</v>
      </c>
      <c r="G761" s="636" t="str">
        <f t="shared" ca="1" si="71"/>
        <v>ID.AM-610</v>
      </c>
    </row>
    <row r="762" spans="1:7" x14ac:dyDescent="0.25">
      <c r="A762" t="s">
        <v>287</v>
      </c>
      <c r="B762" s="556">
        <v>1</v>
      </c>
      <c r="C762" t="s">
        <v>446</v>
      </c>
      <c r="D762" s="1079" t="s">
        <v>1576</v>
      </c>
      <c r="E762" s="556">
        <f ca="1">VLOOKUP(A762,Data!C:I,7,FALSE)</f>
        <v>0</v>
      </c>
      <c r="F762" s="636" t="str">
        <f t="shared" si="70"/>
        <v>ID.GV-31</v>
      </c>
      <c r="G762" s="636" t="str">
        <f t="shared" ca="1" si="71"/>
        <v>ID.GV-310</v>
      </c>
    </row>
    <row r="763" spans="1:7" x14ac:dyDescent="0.25">
      <c r="A763" t="s">
        <v>287</v>
      </c>
      <c r="B763" s="556">
        <v>1</v>
      </c>
      <c r="C763" t="s">
        <v>1501</v>
      </c>
      <c r="D763" s="1075" t="s">
        <v>1615</v>
      </c>
      <c r="E763" s="556">
        <f ca="1">VLOOKUP(A763,Data!C:I,7,FALSE)</f>
        <v>0</v>
      </c>
      <c r="F763" s="636" t="str">
        <f t="shared" si="70"/>
        <v>PR.AT-21</v>
      </c>
      <c r="G763" s="636" t="str">
        <f t="shared" ca="1" si="71"/>
        <v>PR.AT-210</v>
      </c>
    </row>
    <row r="764" spans="1:7" x14ac:dyDescent="0.25">
      <c r="A764" t="s">
        <v>287</v>
      </c>
      <c r="B764" s="556">
        <v>1</v>
      </c>
      <c r="C764" t="s">
        <v>1501</v>
      </c>
      <c r="D764" s="1075" t="s">
        <v>1616</v>
      </c>
      <c r="E764" s="556">
        <f ca="1">VLOOKUP(A764,Data!C:I,7,FALSE)</f>
        <v>0</v>
      </c>
      <c r="F764" s="636" t="str">
        <f t="shared" si="70"/>
        <v>PR.AT-31</v>
      </c>
      <c r="G764" s="636" t="str">
        <f t="shared" ca="1" si="71"/>
        <v>PR.AT-310</v>
      </c>
    </row>
    <row r="765" spans="1:7" x14ac:dyDescent="0.25">
      <c r="A765" t="s">
        <v>287</v>
      </c>
      <c r="B765" s="556">
        <v>1</v>
      </c>
      <c r="C765" t="s">
        <v>1501</v>
      </c>
      <c r="D765" s="1075" t="s">
        <v>1565</v>
      </c>
      <c r="E765" s="556">
        <f ca="1">VLOOKUP(A765,Data!C:I,7,FALSE)</f>
        <v>0</v>
      </c>
      <c r="F765" s="636" t="str">
        <f t="shared" si="70"/>
        <v>PR.AT-41</v>
      </c>
      <c r="G765" s="636" t="str">
        <f t="shared" ca="1" si="71"/>
        <v>PR.AT-410</v>
      </c>
    </row>
    <row r="766" spans="1:7" x14ac:dyDescent="0.25">
      <c r="A766" t="s">
        <v>287</v>
      </c>
      <c r="B766" s="556">
        <v>1</v>
      </c>
      <c r="C766" t="s">
        <v>1501</v>
      </c>
      <c r="D766" s="1075" t="s">
        <v>1617</v>
      </c>
      <c r="E766" s="556">
        <f ca="1">VLOOKUP(A766,Data!C:I,7,FALSE)</f>
        <v>0</v>
      </c>
      <c r="F766" s="636" t="str">
        <f t="shared" si="70"/>
        <v>PR.AT-51</v>
      </c>
      <c r="G766" s="636" t="str">
        <f t="shared" ca="1" si="71"/>
        <v>PR.AT-510</v>
      </c>
    </row>
    <row r="767" spans="1:7" x14ac:dyDescent="0.25">
      <c r="A767" t="s">
        <v>287</v>
      </c>
      <c r="B767" s="556">
        <v>1</v>
      </c>
      <c r="C767" t="s">
        <v>1501</v>
      </c>
      <c r="D767" s="1075" t="s">
        <v>1618</v>
      </c>
      <c r="E767" s="556">
        <f ca="1">VLOOKUP(A767,Data!C:I,7,FALSE)</f>
        <v>0</v>
      </c>
      <c r="F767" s="636" t="str">
        <f t="shared" si="70"/>
        <v>PR.IP-111</v>
      </c>
      <c r="G767" s="636" t="str">
        <f t="shared" ca="1" si="71"/>
        <v>PR.IP-1110</v>
      </c>
    </row>
    <row r="768" spans="1:7" x14ac:dyDescent="0.25">
      <c r="A768" t="s">
        <v>287</v>
      </c>
      <c r="B768" s="556">
        <v>1</v>
      </c>
      <c r="C768" t="s">
        <v>1502</v>
      </c>
      <c r="D768" s="1076" t="s">
        <v>1578</v>
      </c>
      <c r="E768" s="556">
        <f ca="1">VLOOKUP(A768,Data!C:I,7,FALSE)</f>
        <v>0</v>
      </c>
      <c r="F768" s="636" t="str">
        <f t="shared" si="70"/>
        <v>DE.DP-11</v>
      </c>
      <c r="G768" s="636" t="str">
        <f t="shared" ca="1" si="71"/>
        <v>DE.DP-110</v>
      </c>
    </row>
    <row r="769" spans="1:7" x14ac:dyDescent="0.25">
      <c r="A769" t="s">
        <v>287</v>
      </c>
      <c r="B769" s="556">
        <v>1</v>
      </c>
      <c r="C769" t="s">
        <v>1503</v>
      </c>
      <c r="D769" s="1080" t="s">
        <v>1571</v>
      </c>
      <c r="E769" s="556">
        <f ca="1">VLOOKUP(A769,Data!C:I,7,FALSE)</f>
        <v>0</v>
      </c>
      <c r="F769" s="636" t="str">
        <f t="shared" si="70"/>
        <v>RS.CO-11</v>
      </c>
      <c r="G769" s="636" t="str">
        <f t="shared" ca="1" si="71"/>
        <v>RS.CO-110</v>
      </c>
    </row>
    <row r="770" spans="1:7" x14ac:dyDescent="0.25">
      <c r="A770" t="s">
        <v>288</v>
      </c>
      <c r="B770" s="556">
        <v>2</v>
      </c>
      <c r="C770" t="s">
        <v>446</v>
      </c>
      <c r="D770" s="1079" t="s">
        <v>1529</v>
      </c>
      <c r="E770" s="556">
        <f ca="1">VLOOKUP(A770,Data!C:I,7,FALSE)</f>
        <v>0</v>
      </c>
      <c r="F770" s="636" t="str">
        <f t="shared" si="70"/>
        <v>ID.AM-62</v>
      </c>
      <c r="G770" s="636" t="str">
        <f t="shared" ca="1" si="71"/>
        <v>ID.AM-620</v>
      </c>
    </row>
    <row r="771" spans="1:7" x14ac:dyDescent="0.25">
      <c r="A771" t="s">
        <v>288</v>
      </c>
      <c r="B771" s="556">
        <v>2</v>
      </c>
      <c r="C771" t="s">
        <v>446</v>
      </c>
      <c r="D771" s="1079" t="s">
        <v>1530</v>
      </c>
      <c r="E771" s="556">
        <f ca="1">VLOOKUP(A771,Data!C:I,7,FALSE)</f>
        <v>0</v>
      </c>
      <c r="F771" s="636" t="str">
        <f t="shared" ref="F771:F813" si="72">CONCATENATE($D771,$B771)</f>
        <v>ID.GV-22</v>
      </c>
      <c r="G771" s="636" t="str">
        <f t="shared" ref="G771:G813" ca="1" si="73">_xlfn.IFNA(CONCATENATE(F771,$E771),CONCATENATE(F771,$E771,0))</f>
        <v>ID.GV-220</v>
      </c>
    </row>
    <row r="772" spans="1:7" x14ac:dyDescent="0.25">
      <c r="A772" t="s">
        <v>288</v>
      </c>
      <c r="B772" s="556">
        <v>2</v>
      </c>
      <c r="C772" t="s">
        <v>446</v>
      </c>
      <c r="D772" s="1079" t="s">
        <v>1576</v>
      </c>
      <c r="E772" s="556">
        <f ca="1">VLOOKUP(A772,Data!C:I,7,FALSE)</f>
        <v>0</v>
      </c>
      <c r="F772" s="636" t="str">
        <f t="shared" si="72"/>
        <v>ID.GV-32</v>
      </c>
      <c r="G772" s="636" t="str">
        <f t="shared" ca="1" si="73"/>
        <v>ID.GV-320</v>
      </c>
    </row>
    <row r="773" spans="1:7" x14ac:dyDescent="0.25">
      <c r="A773" t="s">
        <v>288</v>
      </c>
      <c r="B773" s="556">
        <v>2</v>
      </c>
      <c r="C773" t="s">
        <v>1501</v>
      </c>
      <c r="D773" s="1075" t="s">
        <v>1615</v>
      </c>
      <c r="E773" s="556">
        <f ca="1">VLOOKUP(A773,Data!C:I,7,FALSE)</f>
        <v>0</v>
      </c>
      <c r="F773" s="636" t="str">
        <f t="shared" si="72"/>
        <v>PR.AT-22</v>
      </c>
      <c r="G773" s="636" t="str">
        <f t="shared" ca="1" si="73"/>
        <v>PR.AT-220</v>
      </c>
    </row>
    <row r="774" spans="1:7" x14ac:dyDescent="0.25">
      <c r="A774" t="s">
        <v>288</v>
      </c>
      <c r="B774" s="556">
        <v>2</v>
      </c>
      <c r="C774" t="s">
        <v>1501</v>
      </c>
      <c r="D774" s="1075" t="s">
        <v>1616</v>
      </c>
      <c r="E774" s="556">
        <f ca="1">VLOOKUP(A774,Data!C:I,7,FALSE)</f>
        <v>0</v>
      </c>
      <c r="F774" s="636" t="str">
        <f t="shared" si="72"/>
        <v>PR.AT-32</v>
      </c>
      <c r="G774" s="636" t="str">
        <f t="shared" ca="1" si="73"/>
        <v>PR.AT-320</v>
      </c>
    </row>
    <row r="775" spans="1:7" x14ac:dyDescent="0.25">
      <c r="A775" t="s">
        <v>288</v>
      </c>
      <c r="B775" s="556">
        <v>2</v>
      </c>
      <c r="C775" t="s">
        <v>1501</v>
      </c>
      <c r="D775" s="1075" t="s">
        <v>1565</v>
      </c>
      <c r="E775" s="556">
        <f ca="1">VLOOKUP(A775,Data!C:I,7,FALSE)</f>
        <v>0</v>
      </c>
      <c r="F775" s="636" t="str">
        <f t="shared" si="72"/>
        <v>PR.AT-42</v>
      </c>
      <c r="G775" s="636" t="str">
        <f t="shared" ca="1" si="73"/>
        <v>PR.AT-420</v>
      </c>
    </row>
    <row r="776" spans="1:7" x14ac:dyDescent="0.25">
      <c r="A776" t="s">
        <v>288</v>
      </c>
      <c r="B776" s="556">
        <v>2</v>
      </c>
      <c r="C776" t="s">
        <v>1501</v>
      </c>
      <c r="D776" s="1075" t="s">
        <v>1617</v>
      </c>
      <c r="E776" s="556">
        <f ca="1">VLOOKUP(A776,Data!C:I,7,FALSE)</f>
        <v>0</v>
      </c>
      <c r="F776" s="636" t="str">
        <f t="shared" si="72"/>
        <v>PR.AT-52</v>
      </c>
      <c r="G776" s="636" t="str">
        <f t="shared" ca="1" si="73"/>
        <v>PR.AT-520</v>
      </c>
    </row>
    <row r="777" spans="1:7" x14ac:dyDescent="0.25">
      <c r="A777" t="s">
        <v>288</v>
      </c>
      <c r="B777" s="556">
        <v>2</v>
      </c>
      <c r="C777" t="s">
        <v>1501</v>
      </c>
      <c r="D777" s="1075" t="s">
        <v>1618</v>
      </c>
      <c r="E777" s="556">
        <f ca="1">VLOOKUP(A777,Data!C:I,7,FALSE)</f>
        <v>0</v>
      </c>
      <c r="F777" s="636" t="str">
        <f t="shared" si="72"/>
        <v>PR.IP-112</v>
      </c>
      <c r="G777" s="636" t="str">
        <f t="shared" ca="1" si="73"/>
        <v>PR.IP-1120</v>
      </c>
    </row>
    <row r="778" spans="1:7" x14ac:dyDescent="0.25">
      <c r="A778" t="s">
        <v>288</v>
      </c>
      <c r="B778" s="556">
        <v>2</v>
      </c>
      <c r="C778" t="s">
        <v>1502</v>
      </c>
      <c r="D778" s="1076" t="s">
        <v>1578</v>
      </c>
      <c r="E778" s="556">
        <f ca="1">VLOOKUP(A778,Data!C:I,7,FALSE)</f>
        <v>0</v>
      </c>
      <c r="F778" s="636" t="str">
        <f t="shared" si="72"/>
        <v>DE.DP-12</v>
      </c>
      <c r="G778" s="636" t="str">
        <f t="shared" ca="1" si="73"/>
        <v>DE.DP-120</v>
      </c>
    </row>
    <row r="779" spans="1:7" x14ac:dyDescent="0.25">
      <c r="A779" t="s">
        <v>288</v>
      </c>
      <c r="B779" s="556">
        <v>2</v>
      </c>
      <c r="C779" t="s">
        <v>1503</v>
      </c>
      <c r="D779" s="1080" t="s">
        <v>1571</v>
      </c>
      <c r="E779" s="556">
        <f ca="1">VLOOKUP(A779,Data!C:I,7,FALSE)</f>
        <v>0</v>
      </c>
      <c r="F779" s="636" t="str">
        <f t="shared" si="72"/>
        <v>RS.CO-12</v>
      </c>
      <c r="G779" s="636" t="str">
        <f t="shared" ca="1" si="73"/>
        <v>RS.CO-120</v>
      </c>
    </row>
    <row r="780" spans="1:7" x14ac:dyDescent="0.25">
      <c r="A780" t="s">
        <v>289</v>
      </c>
      <c r="B780" s="556">
        <v>2</v>
      </c>
      <c r="C780" t="s">
        <v>446</v>
      </c>
      <c r="D780" s="1079" t="s">
        <v>1529</v>
      </c>
      <c r="E780" s="556">
        <f ca="1">VLOOKUP(A780,Data!C:I,7,FALSE)</f>
        <v>0</v>
      </c>
      <c r="F780" s="636" t="str">
        <f t="shared" si="72"/>
        <v>ID.AM-62</v>
      </c>
      <c r="G780" s="636" t="str">
        <f t="shared" ca="1" si="73"/>
        <v>ID.AM-620</v>
      </c>
    </row>
    <row r="781" spans="1:7" x14ac:dyDescent="0.25">
      <c r="A781" t="s">
        <v>289</v>
      </c>
      <c r="B781" s="556">
        <v>2</v>
      </c>
      <c r="C781" t="s">
        <v>1501</v>
      </c>
      <c r="D781" s="1075" t="s">
        <v>1615</v>
      </c>
      <c r="E781" s="556">
        <f ca="1">VLOOKUP(A781,Data!C:I,7,FALSE)</f>
        <v>0</v>
      </c>
      <c r="F781" s="636" t="str">
        <f t="shared" si="72"/>
        <v>PR.AT-22</v>
      </c>
      <c r="G781" s="636" t="str">
        <f t="shared" ca="1" si="73"/>
        <v>PR.AT-220</v>
      </c>
    </row>
    <row r="782" spans="1:7" x14ac:dyDescent="0.25">
      <c r="A782" t="s">
        <v>289</v>
      </c>
      <c r="B782" s="556">
        <v>2</v>
      </c>
      <c r="C782" t="s">
        <v>1501</v>
      </c>
      <c r="D782" s="1075" t="s">
        <v>1616</v>
      </c>
      <c r="E782" s="556">
        <f ca="1">VLOOKUP(A782,Data!C:I,7,FALSE)</f>
        <v>0</v>
      </c>
      <c r="F782" s="636" t="str">
        <f t="shared" si="72"/>
        <v>PR.AT-32</v>
      </c>
      <c r="G782" s="636" t="str">
        <f t="shared" ca="1" si="73"/>
        <v>PR.AT-320</v>
      </c>
    </row>
    <row r="783" spans="1:7" x14ac:dyDescent="0.25">
      <c r="A783" t="s">
        <v>289</v>
      </c>
      <c r="B783" s="556">
        <v>2</v>
      </c>
      <c r="C783" t="s">
        <v>1501</v>
      </c>
      <c r="D783" s="1075" t="s">
        <v>1565</v>
      </c>
      <c r="E783" s="556">
        <f ca="1">VLOOKUP(A783,Data!C:I,7,FALSE)</f>
        <v>0</v>
      </c>
      <c r="F783" s="636" t="str">
        <f t="shared" si="72"/>
        <v>PR.AT-42</v>
      </c>
      <c r="G783" s="636" t="str">
        <f t="shared" ca="1" si="73"/>
        <v>PR.AT-420</v>
      </c>
    </row>
    <row r="784" spans="1:7" x14ac:dyDescent="0.25">
      <c r="A784" t="s">
        <v>289</v>
      </c>
      <c r="B784" s="556">
        <v>2</v>
      </c>
      <c r="C784" t="s">
        <v>1501</v>
      </c>
      <c r="D784" s="1075" t="s">
        <v>1617</v>
      </c>
      <c r="E784" s="556">
        <f ca="1">VLOOKUP(A784,Data!C:I,7,FALSE)</f>
        <v>0</v>
      </c>
      <c r="F784" s="636" t="str">
        <f t="shared" si="72"/>
        <v>PR.AT-52</v>
      </c>
      <c r="G784" s="636" t="str">
        <f t="shared" ca="1" si="73"/>
        <v>PR.AT-520</v>
      </c>
    </row>
    <row r="785" spans="1:7" x14ac:dyDescent="0.25">
      <c r="A785" t="s">
        <v>289</v>
      </c>
      <c r="B785" s="556">
        <v>2</v>
      </c>
      <c r="C785" t="s">
        <v>1501</v>
      </c>
      <c r="D785" s="1075" t="s">
        <v>1618</v>
      </c>
      <c r="E785" s="556">
        <f ca="1">VLOOKUP(A785,Data!C:I,7,FALSE)</f>
        <v>0</v>
      </c>
      <c r="F785" s="636" t="str">
        <f t="shared" si="72"/>
        <v>PR.IP-112</v>
      </c>
      <c r="G785" s="636" t="str">
        <f t="shared" ca="1" si="73"/>
        <v>PR.IP-1120</v>
      </c>
    </row>
    <row r="786" spans="1:7" x14ac:dyDescent="0.25">
      <c r="A786" t="s">
        <v>289</v>
      </c>
      <c r="B786" s="556">
        <v>2</v>
      </c>
      <c r="C786" t="s">
        <v>1502</v>
      </c>
      <c r="D786" s="1078" t="s">
        <v>1578</v>
      </c>
      <c r="E786" s="556">
        <f ca="1">VLOOKUP(A786,Data!C:I,7,FALSE)</f>
        <v>0</v>
      </c>
      <c r="F786" s="636" t="str">
        <f t="shared" si="72"/>
        <v>DE.DP-12</v>
      </c>
      <c r="G786" s="636" t="str">
        <f t="shared" ca="1" si="73"/>
        <v>DE.DP-120</v>
      </c>
    </row>
    <row r="787" spans="1:7" x14ac:dyDescent="0.25">
      <c r="A787" t="s">
        <v>289</v>
      </c>
      <c r="B787" s="556">
        <v>2</v>
      </c>
      <c r="C787" t="s">
        <v>1503</v>
      </c>
      <c r="D787" s="1080" t="s">
        <v>1571</v>
      </c>
      <c r="E787" s="556">
        <f ca="1">VLOOKUP(A787,Data!C:I,7,FALSE)</f>
        <v>0</v>
      </c>
      <c r="F787" s="636" t="str">
        <f t="shared" si="72"/>
        <v>RS.CO-12</v>
      </c>
      <c r="G787" s="636" t="str">
        <f t="shared" ca="1" si="73"/>
        <v>RS.CO-120</v>
      </c>
    </row>
    <row r="788" spans="1:7" x14ac:dyDescent="0.25">
      <c r="A788" t="s">
        <v>290</v>
      </c>
      <c r="B788" s="556">
        <v>3</v>
      </c>
      <c r="C788" t="s">
        <v>446</v>
      </c>
      <c r="D788" s="1079" t="s">
        <v>1530</v>
      </c>
      <c r="E788" s="556">
        <f ca="1">VLOOKUP(A788,Data!C:I,7,FALSE)</f>
        <v>0</v>
      </c>
      <c r="F788" s="636" t="str">
        <f t="shared" si="72"/>
        <v>ID.GV-23</v>
      </c>
      <c r="G788" s="636" t="str">
        <f t="shared" ca="1" si="73"/>
        <v>ID.GV-230</v>
      </c>
    </row>
    <row r="789" spans="1:7" x14ac:dyDescent="0.25">
      <c r="A789" t="s">
        <v>290</v>
      </c>
      <c r="B789" s="556">
        <v>3</v>
      </c>
      <c r="C789" t="s">
        <v>1501</v>
      </c>
      <c r="D789" s="1075" t="s">
        <v>1618</v>
      </c>
      <c r="E789" s="556">
        <f ca="1">VLOOKUP(A789,Data!C:I,7,FALSE)</f>
        <v>0</v>
      </c>
      <c r="F789" s="636" t="str">
        <f t="shared" si="72"/>
        <v>PR.IP-113</v>
      </c>
      <c r="G789" s="636" t="str">
        <f t="shared" ca="1" si="73"/>
        <v>PR.IP-1130</v>
      </c>
    </row>
    <row r="790" spans="1:7" x14ac:dyDescent="0.25">
      <c r="A790" t="s">
        <v>290</v>
      </c>
      <c r="B790" s="556">
        <v>3</v>
      </c>
      <c r="C790" t="s">
        <v>1502</v>
      </c>
      <c r="D790" s="1078" t="s">
        <v>1578</v>
      </c>
      <c r="E790" s="556">
        <f ca="1">VLOOKUP(A790,Data!C:I,7,FALSE)</f>
        <v>0</v>
      </c>
      <c r="F790" s="636" t="str">
        <f t="shared" si="72"/>
        <v>DE.DP-13</v>
      </c>
      <c r="G790" s="636" t="str">
        <f t="shared" ca="1" si="73"/>
        <v>DE.DP-130</v>
      </c>
    </row>
    <row r="791" spans="1:7" x14ac:dyDescent="0.25">
      <c r="A791" t="s">
        <v>291</v>
      </c>
      <c r="B791" s="556">
        <v>3</v>
      </c>
      <c r="C791" t="s">
        <v>1501</v>
      </c>
      <c r="D791" s="1075" t="s">
        <v>1618</v>
      </c>
      <c r="E791" s="556">
        <f ca="1">VLOOKUP(A791,Data!C:I,7,FALSE)</f>
        <v>0</v>
      </c>
      <c r="F791" s="636" t="str">
        <f t="shared" si="72"/>
        <v>PR.IP-113</v>
      </c>
      <c r="G791" s="636" t="str">
        <f t="shared" ca="1" si="73"/>
        <v>PR.IP-1130</v>
      </c>
    </row>
    <row r="792" spans="1:7" x14ac:dyDescent="0.25">
      <c r="A792" t="s">
        <v>292</v>
      </c>
      <c r="B792" s="556">
        <v>1</v>
      </c>
      <c r="C792" t="s">
        <v>1501</v>
      </c>
      <c r="D792" s="1075" t="s">
        <v>1619</v>
      </c>
      <c r="E792" s="556">
        <f ca="1">VLOOKUP(A792,Data!C:I,7,FALSE)</f>
        <v>0</v>
      </c>
      <c r="F792" s="636" t="str">
        <f t="shared" si="72"/>
        <v>PR.AT-11</v>
      </c>
      <c r="G792" s="636" t="str">
        <f t="shared" ca="1" si="73"/>
        <v>PR.AT-110</v>
      </c>
    </row>
    <row r="793" spans="1:7" x14ac:dyDescent="0.25">
      <c r="A793" t="s">
        <v>292</v>
      </c>
      <c r="B793" s="556">
        <v>1</v>
      </c>
      <c r="C793" t="s">
        <v>1501</v>
      </c>
      <c r="D793" s="1075" t="s">
        <v>1618</v>
      </c>
      <c r="E793" s="556">
        <f ca="1">VLOOKUP(A793,Data!C:I,7,FALSE)</f>
        <v>0</v>
      </c>
      <c r="F793" s="636" t="str">
        <f t="shared" si="72"/>
        <v>PR.IP-111</v>
      </c>
      <c r="G793" s="636" t="str">
        <f t="shared" ca="1" si="73"/>
        <v>PR.IP-1110</v>
      </c>
    </row>
    <row r="794" spans="1:7" x14ac:dyDescent="0.25">
      <c r="A794" t="s">
        <v>293</v>
      </c>
      <c r="B794" s="556">
        <v>1</v>
      </c>
      <c r="C794" t="s">
        <v>1501</v>
      </c>
      <c r="D794" s="1075" t="s">
        <v>1618</v>
      </c>
      <c r="E794" s="556">
        <f ca="1">VLOOKUP(A794,Data!C:I,7,FALSE)</f>
        <v>0</v>
      </c>
      <c r="F794" s="636" t="str">
        <f t="shared" si="72"/>
        <v>PR.IP-111</v>
      </c>
      <c r="G794" s="636" t="str">
        <f t="shared" ca="1" si="73"/>
        <v>PR.IP-1110</v>
      </c>
    </row>
    <row r="795" spans="1:7" x14ac:dyDescent="0.25">
      <c r="A795" t="s">
        <v>294</v>
      </c>
      <c r="B795" s="556">
        <v>2</v>
      </c>
      <c r="C795" t="s">
        <v>1501</v>
      </c>
      <c r="D795" s="1075" t="s">
        <v>1618</v>
      </c>
      <c r="E795" s="556">
        <f ca="1">VLOOKUP(A795,Data!C:I,7,FALSE)</f>
        <v>0</v>
      </c>
      <c r="F795" s="636" t="str">
        <f t="shared" si="72"/>
        <v>PR.IP-112</v>
      </c>
      <c r="G795" s="636" t="str">
        <f t="shared" ca="1" si="73"/>
        <v>PR.IP-1120</v>
      </c>
    </row>
    <row r="796" spans="1:7" x14ac:dyDescent="0.25">
      <c r="A796" t="s">
        <v>295</v>
      </c>
      <c r="B796" s="556">
        <v>2</v>
      </c>
      <c r="C796" t="s">
        <v>1501</v>
      </c>
      <c r="D796" s="1075" t="s">
        <v>1619</v>
      </c>
      <c r="E796" s="556">
        <f ca="1">VLOOKUP(A796,Data!C:I,7,FALSE)</f>
        <v>0</v>
      </c>
      <c r="F796" s="636" t="str">
        <f t="shared" si="72"/>
        <v>PR.AT-12</v>
      </c>
      <c r="G796" s="636" t="str">
        <f t="shared" ca="1" si="73"/>
        <v>PR.AT-120</v>
      </c>
    </row>
    <row r="797" spans="1:7" x14ac:dyDescent="0.25">
      <c r="A797" t="s">
        <v>295</v>
      </c>
      <c r="B797" s="556">
        <v>2</v>
      </c>
      <c r="C797" t="s">
        <v>1501</v>
      </c>
      <c r="D797" s="1075" t="s">
        <v>1615</v>
      </c>
      <c r="E797" s="556">
        <f ca="1">VLOOKUP(A797,Data!C:I,7,FALSE)</f>
        <v>0</v>
      </c>
      <c r="F797" s="636" t="str">
        <f t="shared" si="72"/>
        <v>PR.AT-22</v>
      </c>
      <c r="G797" s="636" t="str">
        <f t="shared" ca="1" si="73"/>
        <v>PR.AT-220</v>
      </c>
    </row>
    <row r="798" spans="1:7" x14ac:dyDescent="0.25">
      <c r="A798" t="s">
        <v>295</v>
      </c>
      <c r="B798" s="556">
        <v>2</v>
      </c>
      <c r="C798" t="s">
        <v>1501</v>
      </c>
      <c r="D798" s="1075" t="s">
        <v>1618</v>
      </c>
      <c r="E798" s="556">
        <f ca="1">VLOOKUP(A798,Data!C:I,7,FALSE)</f>
        <v>0</v>
      </c>
      <c r="F798" s="636" t="str">
        <f t="shared" si="72"/>
        <v>PR.IP-112</v>
      </c>
      <c r="G798" s="636" t="str">
        <f t="shared" ca="1" si="73"/>
        <v>PR.IP-1120</v>
      </c>
    </row>
    <row r="799" spans="1:7" x14ac:dyDescent="0.25">
      <c r="A799" t="s">
        <v>2655</v>
      </c>
      <c r="B799" s="556">
        <v>3</v>
      </c>
      <c r="C799" t="s">
        <v>1501</v>
      </c>
      <c r="D799" s="1075" t="s">
        <v>1619</v>
      </c>
      <c r="E799" s="556">
        <f ca="1">VLOOKUP(A799,Data!C:I,7,FALSE)</f>
        <v>0</v>
      </c>
      <c r="F799" s="636" t="str">
        <f t="shared" si="72"/>
        <v>PR.AT-13</v>
      </c>
      <c r="G799" s="636" t="str">
        <f t="shared" ca="1" si="73"/>
        <v>PR.AT-130</v>
      </c>
    </row>
    <row r="800" spans="1:7" x14ac:dyDescent="0.25">
      <c r="A800" t="s">
        <v>2655</v>
      </c>
      <c r="B800" s="556">
        <v>3</v>
      </c>
      <c r="C800" t="s">
        <v>1501</v>
      </c>
      <c r="D800" s="1075" t="s">
        <v>1618</v>
      </c>
      <c r="E800" s="556">
        <f ca="1">VLOOKUP(A800,Data!C:I,7,FALSE)</f>
        <v>0</v>
      </c>
      <c r="F800" s="636" t="str">
        <f t="shared" si="72"/>
        <v>PR.IP-113</v>
      </c>
      <c r="G800" s="636" t="str">
        <f t="shared" ca="1" si="73"/>
        <v>PR.IP-1130</v>
      </c>
    </row>
    <row r="801" spans="1:7" x14ac:dyDescent="0.25">
      <c r="A801" t="s">
        <v>297</v>
      </c>
      <c r="B801" s="556">
        <v>2</v>
      </c>
      <c r="C801" t="s">
        <v>1501</v>
      </c>
      <c r="D801" s="1075" t="s">
        <v>1618</v>
      </c>
      <c r="E801" s="556">
        <f ca="1">VLOOKUP(A801,Data!C:I,7,FALSE)</f>
        <v>0</v>
      </c>
      <c r="F801" s="636" t="str">
        <f t="shared" si="72"/>
        <v>PR.IP-112</v>
      </c>
      <c r="G801" s="636" t="str">
        <f t="shared" ca="1" si="73"/>
        <v>PR.IP-1120</v>
      </c>
    </row>
    <row r="802" spans="1:7" x14ac:dyDescent="0.25">
      <c r="A802" t="s">
        <v>299</v>
      </c>
      <c r="B802" s="556">
        <v>3</v>
      </c>
      <c r="C802" t="s">
        <v>446</v>
      </c>
      <c r="D802" s="1079" t="s">
        <v>1562</v>
      </c>
      <c r="E802" s="556">
        <f ca="1">VLOOKUP(A802,Data!C:I,7,FALSE)</f>
        <v>0</v>
      </c>
      <c r="F802" s="636" t="str">
        <f t="shared" si="72"/>
        <v>ID.GV-13</v>
      </c>
      <c r="G802" s="636" t="str">
        <f t="shared" ca="1" si="73"/>
        <v>ID.GV-130</v>
      </c>
    </row>
    <row r="803" spans="1:7" x14ac:dyDescent="0.25">
      <c r="A803" t="s">
        <v>299</v>
      </c>
      <c r="B803" s="556">
        <v>3</v>
      </c>
      <c r="C803" t="s">
        <v>446</v>
      </c>
      <c r="D803" s="1079" t="s">
        <v>1576</v>
      </c>
      <c r="E803" s="556">
        <f ca="1">VLOOKUP(A803,Data!C:I,7,FALSE)</f>
        <v>0</v>
      </c>
      <c r="F803" s="636" t="str">
        <f t="shared" si="72"/>
        <v>ID.GV-33</v>
      </c>
      <c r="G803" s="636" t="str">
        <f t="shared" ca="1" si="73"/>
        <v>ID.GV-330</v>
      </c>
    </row>
    <row r="804" spans="1:7" x14ac:dyDescent="0.25">
      <c r="A804" t="s">
        <v>300</v>
      </c>
      <c r="B804" s="556">
        <v>3</v>
      </c>
      <c r="C804" t="s">
        <v>446</v>
      </c>
      <c r="D804" s="1079" t="s">
        <v>1529</v>
      </c>
      <c r="E804" s="556">
        <f ca="1">VLOOKUP(A804,Data!C:I,7,FALSE)</f>
        <v>0</v>
      </c>
      <c r="F804" s="636" t="str">
        <f t="shared" si="72"/>
        <v>ID.AM-63</v>
      </c>
      <c r="G804" s="636" t="str">
        <f t="shared" ca="1" si="73"/>
        <v>ID.AM-630</v>
      </c>
    </row>
    <row r="805" spans="1:7" x14ac:dyDescent="0.25">
      <c r="A805" t="s">
        <v>300</v>
      </c>
      <c r="B805" s="556">
        <v>3</v>
      </c>
      <c r="C805" t="s">
        <v>446</v>
      </c>
      <c r="D805" s="1079" t="s">
        <v>1562</v>
      </c>
      <c r="E805" s="556">
        <f ca="1">VLOOKUP(A805,Data!C:I,7,FALSE)</f>
        <v>0</v>
      </c>
      <c r="F805" s="636" t="str">
        <f t="shared" si="72"/>
        <v>ID.GV-13</v>
      </c>
      <c r="G805" s="636" t="str">
        <f t="shared" ca="1" si="73"/>
        <v>ID.GV-130</v>
      </c>
    </row>
    <row r="806" spans="1:7" x14ac:dyDescent="0.25">
      <c r="A806" t="s">
        <v>300</v>
      </c>
      <c r="B806" s="556">
        <v>3</v>
      </c>
      <c r="C806" t="s">
        <v>446</v>
      </c>
      <c r="D806" s="1079" t="s">
        <v>1530</v>
      </c>
      <c r="E806" s="556">
        <f ca="1">VLOOKUP(A806,Data!C:I,7,FALSE)</f>
        <v>0</v>
      </c>
      <c r="F806" s="636" t="str">
        <f t="shared" si="72"/>
        <v>ID.GV-23</v>
      </c>
      <c r="G806" s="636" t="str">
        <f t="shared" ca="1" si="73"/>
        <v>ID.GV-230</v>
      </c>
    </row>
    <row r="807" spans="1:7" x14ac:dyDescent="0.25">
      <c r="A807" t="s">
        <v>300</v>
      </c>
      <c r="B807" s="556">
        <v>3</v>
      </c>
      <c r="C807" t="s">
        <v>446</v>
      </c>
      <c r="D807" s="1079" t="s">
        <v>1576</v>
      </c>
      <c r="E807" s="556">
        <f ca="1">VLOOKUP(A807,Data!C:I,7,FALSE)</f>
        <v>0</v>
      </c>
      <c r="F807" s="636" t="str">
        <f t="shared" si="72"/>
        <v>ID.GV-33</v>
      </c>
      <c r="G807" s="636" t="str">
        <f t="shared" ca="1" si="73"/>
        <v>ID.GV-330</v>
      </c>
    </row>
    <row r="808" spans="1:7" x14ac:dyDescent="0.25">
      <c r="A808" t="s">
        <v>300</v>
      </c>
      <c r="B808" s="556">
        <v>3</v>
      </c>
      <c r="C808" t="s">
        <v>1501</v>
      </c>
      <c r="D808" s="1075" t="s">
        <v>1615</v>
      </c>
      <c r="E808" s="556">
        <f ca="1">VLOOKUP(A808,Data!C:I,7,FALSE)</f>
        <v>0</v>
      </c>
      <c r="F808" s="636" t="str">
        <f t="shared" si="72"/>
        <v>PR.AT-23</v>
      </c>
      <c r="G808" s="636" t="str">
        <f t="shared" ca="1" si="73"/>
        <v>PR.AT-230</v>
      </c>
    </row>
    <row r="809" spans="1:7" x14ac:dyDescent="0.25">
      <c r="A809" t="s">
        <v>300</v>
      </c>
      <c r="B809" s="556">
        <v>3</v>
      </c>
      <c r="C809" t="s">
        <v>1501</v>
      </c>
      <c r="D809" s="1075" t="s">
        <v>1616</v>
      </c>
      <c r="E809" s="556">
        <f ca="1">VLOOKUP(A809,Data!C:I,7,FALSE)</f>
        <v>0</v>
      </c>
      <c r="F809" s="636" t="str">
        <f t="shared" si="72"/>
        <v>PR.AT-33</v>
      </c>
      <c r="G809" s="636" t="str">
        <f t="shared" ca="1" si="73"/>
        <v>PR.AT-330</v>
      </c>
    </row>
    <row r="810" spans="1:7" x14ac:dyDescent="0.25">
      <c r="A810" t="s">
        <v>300</v>
      </c>
      <c r="B810" s="556">
        <v>3</v>
      </c>
      <c r="C810" t="s">
        <v>1501</v>
      </c>
      <c r="D810" s="1075" t="s">
        <v>1565</v>
      </c>
      <c r="E810" s="556">
        <f ca="1">VLOOKUP(A810,Data!C:I,7,FALSE)</f>
        <v>0</v>
      </c>
      <c r="F810" s="636" t="str">
        <f t="shared" si="72"/>
        <v>PR.AT-43</v>
      </c>
      <c r="G810" s="636" t="str">
        <f t="shared" ca="1" si="73"/>
        <v>PR.AT-430</v>
      </c>
    </row>
    <row r="811" spans="1:7" x14ac:dyDescent="0.25">
      <c r="A811" t="s">
        <v>300</v>
      </c>
      <c r="B811" s="556">
        <v>3</v>
      </c>
      <c r="C811" t="s">
        <v>1501</v>
      </c>
      <c r="D811" s="1075" t="s">
        <v>1617</v>
      </c>
      <c r="E811" s="556">
        <f ca="1">VLOOKUP(A811,Data!C:I,7,FALSE)</f>
        <v>0</v>
      </c>
      <c r="F811" s="636" t="str">
        <f t="shared" si="72"/>
        <v>PR.AT-53</v>
      </c>
      <c r="G811" s="636" t="str">
        <f t="shared" ca="1" si="73"/>
        <v>PR.AT-530</v>
      </c>
    </row>
    <row r="812" spans="1:7" x14ac:dyDescent="0.25">
      <c r="A812" t="s">
        <v>301</v>
      </c>
      <c r="B812" s="556">
        <v>3</v>
      </c>
      <c r="C812" t="s">
        <v>1501</v>
      </c>
      <c r="D812" s="1075" t="s">
        <v>1619</v>
      </c>
      <c r="E812" s="556">
        <f ca="1">VLOOKUP(A812,Data!C:I,7,FALSE)</f>
        <v>0</v>
      </c>
      <c r="F812" s="636" t="str">
        <f t="shared" si="72"/>
        <v>PR.AT-13</v>
      </c>
      <c r="G812" s="636" t="str">
        <f t="shared" ca="1" si="73"/>
        <v>PR.AT-130</v>
      </c>
    </row>
    <row r="813" spans="1:7" x14ac:dyDescent="0.25">
      <c r="A813" t="s">
        <v>302</v>
      </c>
      <c r="B813" s="556">
        <v>3</v>
      </c>
      <c r="C813" t="s">
        <v>1501</v>
      </c>
      <c r="D813" s="1075" t="s">
        <v>1781</v>
      </c>
      <c r="E813" s="556">
        <f ca="1">VLOOKUP(A813,Data!C:I,7,FALSE)</f>
        <v>0</v>
      </c>
      <c r="F813" s="636" t="str">
        <f t="shared" si="72"/>
        <v>PR.IP-73</v>
      </c>
      <c r="G813" s="636" t="str">
        <f t="shared" ca="1" si="73"/>
        <v>PR.IP-730</v>
      </c>
    </row>
    <row r="814" spans="1:7" x14ac:dyDescent="0.25">
      <c r="E814" s="556"/>
      <c r="F814" s="636"/>
      <c r="G814" s="636"/>
    </row>
    <row r="815" spans="1:7" x14ac:dyDescent="0.25">
      <c r="E815" s="556"/>
      <c r="F815" s="636"/>
      <c r="G815" s="636"/>
    </row>
    <row r="816" spans="1:7" x14ac:dyDescent="0.25">
      <c r="E816" s="556"/>
      <c r="F816" s="636"/>
      <c r="G816" s="636"/>
    </row>
    <row r="817" spans="5:7" x14ac:dyDescent="0.25">
      <c r="E817" s="556"/>
      <c r="F817" s="636"/>
      <c r="G817" s="636"/>
    </row>
    <row r="818" spans="5:7" x14ac:dyDescent="0.25">
      <c r="E818" s="556"/>
      <c r="F818" s="636"/>
      <c r="G818" s="636"/>
    </row>
    <row r="819" spans="5:7" x14ac:dyDescent="0.25">
      <c r="E819" s="556"/>
      <c r="F819" s="636"/>
      <c r="G819" s="636"/>
    </row>
    <row r="820" spans="5:7" x14ac:dyDescent="0.25">
      <c r="E820" s="556"/>
      <c r="F820" s="636"/>
      <c r="G820" s="636"/>
    </row>
    <row r="821" spans="5:7" x14ac:dyDescent="0.25">
      <c r="E821" s="556"/>
      <c r="F821" s="636"/>
      <c r="G821" s="636"/>
    </row>
    <row r="822" spans="5:7" x14ac:dyDescent="0.25">
      <c r="E822" s="556"/>
      <c r="F822" s="636"/>
      <c r="G822" s="636"/>
    </row>
    <row r="823" spans="5:7" x14ac:dyDescent="0.25">
      <c r="E823" s="556"/>
      <c r="F823" s="636"/>
      <c r="G823" s="636"/>
    </row>
    <row r="824" spans="5:7" x14ac:dyDescent="0.25">
      <c r="E824" s="556"/>
      <c r="F824" s="636"/>
      <c r="G824" s="636"/>
    </row>
    <row r="825" spans="5:7" x14ac:dyDescent="0.25">
      <c r="E825" s="556"/>
      <c r="F825" s="636"/>
      <c r="G825" s="636"/>
    </row>
    <row r="826" spans="5:7" x14ac:dyDescent="0.25">
      <c r="E826" s="556"/>
      <c r="F826" s="636"/>
      <c r="G826" s="636"/>
    </row>
    <row r="827" spans="5:7" x14ac:dyDescent="0.25">
      <c r="E827" s="556"/>
      <c r="F827" s="636"/>
      <c r="G827" s="636"/>
    </row>
    <row r="828" spans="5:7" x14ac:dyDescent="0.25">
      <c r="E828" s="556"/>
      <c r="F828" s="636"/>
      <c r="G828" s="636"/>
    </row>
    <row r="829" spans="5:7" x14ac:dyDescent="0.25">
      <c r="E829" s="556"/>
      <c r="F829" s="636"/>
      <c r="G829" s="636"/>
    </row>
    <row r="830" spans="5:7" x14ac:dyDescent="0.25">
      <c r="E830" s="556"/>
      <c r="F830" s="636"/>
      <c r="G830" s="636"/>
    </row>
    <row r="831" spans="5:7" x14ac:dyDescent="0.25">
      <c r="E831" s="556"/>
      <c r="F831" s="636"/>
      <c r="G831" s="636"/>
    </row>
    <row r="832" spans="5:7" x14ac:dyDescent="0.25">
      <c r="E832" s="556"/>
      <c r="F832" s="636"/>
      <c r="G832" s="636"/>
    </row>
    <row r="833" spans="5:7" x14ac:dyDescent="0.25">
      <c r="E833" s="556"/>
      <c r="F833" s="636"/>
      <c r="G833" s="636"/>
    </row>
    <row r="834" spans="5:7" x14ac:dyDescent="0.25">
      <c r="E834" s="556"/>
      <c r="F834" s="636"/>
      <c r="G834" s="636"/>
    </row>
    <row r="835" spans="5:7" x14ac:dyDescent="0.25">
      <c r="E835" s="556"/>
      <c r="F835" s="636"/>
      <c r="G835" s="636"/>
    </row>
    <row r="836" spans="5:7" x14ac:dyDescent="0.25">
      <c r="E836" s="556"/>
      <c r="F836" s="636"/>
      <c r="G836" s="636"/>
    </row>
    <row r="837" spans="5:7" x14ac:dyDescent="0.25">
      <c r="E837" s="556"/>
      <c r="F837" s="636"/>
      <c r="G837" s="636"/>
    </row>
    <row r="838" spans="5:7" x14ac:dyDescent="0.25">
      <c r="E838" s="556"/>
      <c r="F838" s="636"/>
      <c r="G838" s="636"/>
    </row>
    <row r="839" spans="5:7" x14ac:dyDescent="0.25">
      <c r="E839" s="556"/>
      <c r="F839" s="636"/>
      <c r="G839" s="636"/>
    </row>
    <row r="840" spans="5:7" x14ac:dyDescent="0.25">
      <c r="E840" s="556"/>
      <c r="F840" s="636"/>
      <c r="G840" s="636"/>
    </row>
    <row r="841" spans="5:7" x14ac:dyDescent="0.25">
      <c r="E841" s="556"/>
      <c r="F841" s="636"/>
      <c r="G841" s="636"/>
    </row>
    <row r="842" spans="5:7" x14ac:dyDescent="0.25">
      <c r="E842" s="556"/>
      <c r="F842" s="636"/>
      <c r="G842" s="636"/>
    </row>
    <row r="843" spans="5:7" x14ac:dyDescent="0.25">
      <c r="E843" s="556"/>
      <c r="F843" s="636"/>
      <c r="G843" s="636"/>
    </row>
    <row r="844" spans="5:7" x14ac:dyDescent="0.25">
      <c r="E844" s="556"/>
      <c r="F844" s="636"/>
      <c r="G844" s="636"/>
    </row>
    <row r="845" spans="5:7" x14ac:dyDescent="0.25">
      <c r="E845" s="556"/>
      <c r="F845" s="636"/>
      <c r="G845" s="636"/>
    </row>
    <row r="846" spans="5:7" x14ac:dyDescent="0.25">
      <c r="E846" s="556"/>
      <c r="F846" s="636"/>
      <c r="G846" s="636"/>
    </row>
    <row r="847" spans="5:7" x14ac:dyDescent="0.25">
      <c r="E847" s="556"/>
      <c r="F847" s="636"/>
      <c r="G847" s="636"/>
    </row>
  </sheetData>
  <sheetProtection sheet="1" objects="1" scenarios="1" autoFilter="0"/>
  <autoFilter ref="A1:G1" xr:uid="{00000000-0009-0000-0000-00001B000000}"/>
  <conditionalFormatting sqref="J16:J123">
    <cfRule type="containsText" dxfId="9" priority="1" operator="containsText" text="RC">
      <formula>NOT(ISERROR(SEARCH("RC",J16)))</formula>
    </cfRule>
    <cfRule type="containsText" dxfId="8" priority="2" operator="containsText" text="RS">
      <formula>NOT(ISERROR(SEARCH("RS",J16)))</formula>
    </cfRule>
    <cfRule type="containsText" dxfId="7" priority="3" operator="containsText" text="DE">
      <formula>NOT(ISERROR(SEARCH("DE",J16)))</formula>
    </cfRule>
    <cfRule type="containsText" dxfId="6" priority="4" operator="containsText" text="PR">
      <formula>NOT(ISERROR(SEARCH("PR",J16)))</formula>
    </cfRule>
    <cfRule type="containsText" dxfId="5" priority="5" operator="containsText" text="ID">
      <formula>NOT(ISERROR(SEARCH("ID",J16)))</formula>
    </cfRule>
  </conditionalFormatting>
  <conditionalFormatting sqref="D2:D813">
    <cfRule type="containsText" dxfId="4" priority="6" operator="containsText" text="RC">
      <formula>NOT(ISERROR(SEARCH("RC",D2)))</formula>
    </cfRule>
    <cfRule type="containsText" dxfId="3" priority="7" operator="containsText" text="RS">
      <formula>NOT(ISERROR(SEARCH("RS",D2)))</formula>
    </cfRule>
    <cfRule type="containsText" dxfId="2" priority="8" operator="containsText" text="DE">
      <formula>NOT(ISERROR(SEARCH("DE",D2)))</formula>
    </cfRule>
    <cfRule type="containsText" dxfId="1" priority="9" operator="containsText" text="PR">
      <formula>NOT(ISERROR(SEARCH("PR",D2)))</formula>
    </cfRule>
    <cfRule type="containsText" dxfId="0" priority="10" operator="containsText" text="ID">
      <formula>NOT(ISERROR(SEARCH("ID",D2)))</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A566-0C71-4900-A238-A4E18CB62439}">
  <sheetPr>
    <tabColor theme="6"/>
  </sheetPr>
  <dimension ref="A1:D18"/>
  <sheetViews>
    <sheetView zoomScale="85" zoomScaleNormal="85" workbookViewId="0">
      <pane xSplit="1" ySplit="2" topLeftCell="B3" activePane="bottomRight" state="frozen"/>
      <selection pane="topRight" activeCell="B1" sqref="B1"/>
      <selection pane="bottomLeft" activeCell="A3" sqref="A3"/>
      <selection pane="bottomRight" activeCell="B5" sqref="B5"/>
    </sheetView>
  </sheetViews>
  <sheetFormatPr defaultColWidth="7.1796875" defaultRowHeight="13.8" x14ac:dyDescent="0.25"/>
  <cols>
    <col min="1" max="1" width="35.81640625" customWidth="1"/>
    <col min="2" max="2" width="52.6328125" style="1074" customWidth="1"/>
  </cols>
  <sheetData>
    <row r="1" spans="1:4" ht="42.6" customHeight="1" x14ac:dyDescent="0.25">
      <c r="A1" s="1296" t="s">
        <v>3320</v>
      </c>
      <c r="B1" s="1296"/>
    </row>
    <row r="2" spans="1:4" ht="42.6" customHeight="1" x14ac:dyDescent="0.25">
      <c r="A2" s="1064" t="s">
        <v>3321</v>
      </c>
      <c r="B2" s="1064" t="s">
        <v>3322</v>
      </c>
    </row>
    <row r="3" spans="1:4" ht="50.1" customHeight="1" x14ac:dyDescent="0.25">
      <c r="A3" s="1065" t="s">
        <v>3323</v>
      </c>
      <c r="B3" s="1066" t="s">
        <v>3324</v>
      </c>
    </row>
    <row r="4" spans="1:4" ht="17.399999999999999" x14ac:dyDescent="0.25">
      <c r="A4" s="1065" t="s">
        <v>3325</v>
      </c>
      <c r="B4" s="1066" t="s">
        <v>3326</v>
      </c>
    </row>
    <row r="5" spans="1:4" ht="27.6" x14ac:dyDescent="0.25">
      <c r="A5" s="1065" t="s">
        <v>3327</v>
      </c>
      <c r="B5" s="1067" t="s">
        <v>3328</v>
      </c>
    </row>
    <row r="6" spans="1:4" ht="30.75" customHeight="1" x14ac:dyDescent="0.25">
      <c r="A6" s="1065" t="s">
        <v>3329</v>
      </c>
      <c r="B6" s="1066" t="s">
        <v>3330</v>
      </c>
    </row>
    <row r="7" spans="1:4" ht="41.4" x14ac:dyDescent="0.25">
      <c r="A7" s="1065" t="s">
        <v>3331</v>
      </c>
      <c r="B7" s="1068" t="s">
        <v>3332</v>
      </c>
    </row>
    <row r="8" spans="1:4" ht="34.799999999999997" x14ac:dyDescent="0.25">
      <c r="A8" s="1065" t="s">
        <v>3333</v>
      </c>
      <c r="B8" s="1066" t="s">
        <v>3334</v>
      </c>
    </row>
    <row r="9" spans="1:4" ht="33.75" customHeight="1" x14ac:dyDescent="0.25">
      <c r="A9" s="1065" t="s">
        <v>3335</v>
      </c>
      <c r="B9" s="1066" t="s">
        <v>3336</v>
      </c>
    </row>
    <row r="10" spans="1:4" ht="37.5" customHeight="1" x14ac:dyDescent="0.25">
      <c r="A10" s="1065" t="s">
        <v>3337</v>
      </c>
      <c r="B10" s="1066" t="s">
        <v>3338</v>
      </c>
    </row>
    <row r="11" spans="1:4" ht="59.25" customHeight="1" x14ac:dyDescent="0.25">
      <c r="A11" s="1065" t="s">
        <v>3339</v>
      </c>
      <c r="B11" s="1066" t="s">
        <v>3340</v>
      </c>
    </row>
    <row r="12" spans="1:4" ht="45" customHeight="1" x14ac:dyDescent="0.25">
      <c r="A12" s="1065" t="s">
        <v>3341</v>
      </c>
      <c r="B12" s="1069">
        <v>44741</v>
      </c>
    </row>
    <row r="13" spans="1:4" ht="45" customHeight="1" x14ac:dyDescent="0.25">
      <c r="A13" s="1065" t="s">
        <v>3342</v>
      </c>
      <c r="B13" s="1070" t="s">
        <v>3343</v>
      </c>
    </row>
    <row r="14" spans="1:4" ht="45" customHeight="1" x14ac:dyDescent="0.25">
      <c r="A14" s="1065" t="s">
        <v>3344</v>
      </c>
      <c r="B14" s="1068" t="s">
        <v>3345</v>
      </c>
    </row>
    <row r="15" spans="1:4" ht="45" customHeight="1" x14ac:dyDescent="0.25">
      <c r="A15" s="1065" t="s">
        <v>1442</v>
      </c>
      <c r="B15" s="1066" t="s">
        <v>3346</v>
      </c>
    </row>
    <row r="16" spans="1:4" ht="54" customHeight="1" x14ac:dyDescent="0.25">
      <c r="A16" s="1065" t="s">
        <v>3347</v>
      </c>
      <c r="B16" s="1071" t="s">
        <v>3348</v>
      </c>
      <c r="D16" s="1072"/>
    </row>
    <row r="17" spans="1:2" ht="50.1" customHeight="1" x14ac:dyDescent="0.25">
      <c r="A17" s="1065" t="s">
        <v>3349</v>
      </c>
      <c r="B17" s="1066" t="s">
        <v>3350</v>
      </c>
    </row>
    <row r="18" spans="1:2" ht="50.1" customHeight="1" x14ac:dyDescent="0.25">
      <c r="A18" s="1065" t="s">
        <v>3351</v>
      </c>
      <c r="B18" s="1073" t="s">
        <v>3352</v>
      </c>
    </row>
  </sheetData>
  <sheetProtection sheet="1" formatCells="0" formatColumns="0" formatRows="0"/>
  <mergeCells count="1">
    <mergeCell ref="A1:B1"/>
  </mergeCells>
  <dataValidations count="4">
    <dataValidation type="textLength" operator="greaterThan" showErrorMessage="1" errorTitle="This is a required field" error="Please put in a value for this field" promptTitle="Please input Checklist Name" sqref="B3 B11" xr:uid="{65DC02DE-E169-4759-AC8D-10E9E931C6A4}">
      <formula1>0</formula1>
    </dataValidation>
    <dataValidation type="textLength" operator="greaterThan" showErrorMessage="1" errorTitle="This is a required field" error="Please put in a value for this field" sqref="B4" xr:uid="{19F822E3-B151-4553-BAF9-8509EB494540}">
      <formula1>0</formula1>
    </dataValidation>
    <dataValidation type="textLength" operator="greaterThan" showInputMessage="1" showErrorMessage="1" errorTitle="This is a required field. " error="Please put in a value for this field." sqref="B13 B15:B18 B7:B9" xr:uid="{39C52F6E-6225-4B68-A185-FE753529592D}">
      <formula1>0</formula1>
    </dataValidation>
    <dataValidation type="custom" allowBlank="1" showInputMessage="1" errorTitle="Format Error" error="Please make sure that the date format is in the MM/DD/YYYY format." promptTitle="Format" prompt="Please make sure that the date format is in the MM/DD/YYYY." sqref="B12" xr:uid="{93EB6AB4-E820-46EE-848A-9D35E4731C02}">
      <formula1>B12</formula1>
    </dataValidation>
  </dataValidations>
  <hyperlinks>
    <hyperlink ref="B13" r:id="rId1" xr:uid="{202A705B-05E3-4504-9468-8721C779BCEF}"/>
    <hyperlink ref="B5" r:id="rId2" xr:uid="{A9B0A02C-6A75-4962-B3AD-F2F4B28B2766}"/>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0058B1"/>
  </sheetPr>
  <dimension ref="A1:W48"/>
  <sheetViews>
    <sheetView showGridLines="0" zoomScale="80" zoomScaleNormal="80" workbookViewId="0"/>
  </sheetViews>
  <sheetFormatPr defaultColWidth="9.1796875" defaultRowHeight="13.8" x14ac:dyDescent="0.25"/>
  <cols>
    <col min="1" max="2" width="1.6328125" style="246" customWidth="1"/>
    <col min="3" max="3" width="2.6328125" style="247" customWidth="1"/>
    <col min="4" max="4" width="14.6328125" style="246" customWidth="1"/>
    <col min="5" max="5" width="30.6328125" style="246" customWidth="1"/>
    <col min="6" max="6" width="6.6328125" style="246" customWidth="1"/>
    <col min="7" max="7" width="3.6328125" style="248" customWidth="1"/>
    <col min="8" max="8" width="14.6328125" style="246" customWidth="1"/>
    <col min="9" max="9" width="30.6328125" style="246" customWidth="1"/>
    <col min="10" max="10" width="6.6328125" style="246" customWidth="1"/>
    <col min="11" max="11" width="3.6328125" style="246" customWidth="1"/>
    <col min="12" max="15" width="1.6328125" style="246" customWidth="1"/>
    <col min="16" max="16" width="25.6328125" style="246" customWidth="1"/>
    <col min="17" max="21" width="25.6328125" style="249" customWidth="1"/>
    <col min="22" max="22" width="1.6328125" style="249" customWidth="1"/>
    <col min="23" max="23" width="1.6328125" style="246" customWidth="1"/>
    <col min="24" max="16384" width="9.1796875" style="246"/>
  </cols>
  <sheetData>
    <row r="1" spans="1:23" s="140" customFormat="1" ht="11.4" x14ac:dyDescent="0.25">
      <c r="A1" s="135"/>
      <c r="B1" s="135"/>
      <c r="C1" s="136"/>
      <c r="D1" s="135"/>
      <c r="E1" s="135"/>
      <c r="F1" s="135"/>
      <c r="G1" s="137"/>
      <c r="H1" s="135"/>
      <c r="I1" s="137"/>
      <c r="J1" s="137"/>
      <c r="K1" s="137"/>
      <c r="L1" s="135"/>
      <c r="M1" s="135"/>
      <c r="N1" s="135"/>
      <c r="O1" s="135"/>
      <c r="P1" s="135"/>
      <c r="Q1" s="135"/>
      <c r="R1" s="135"/>
      <c r="S1" s="135"/>
      <c r="T1" s="135"/>
      <c r="U1" s="135"/>
      <c r="V1" s="135"/>
      <c r="W1" s="135"/>
    </row>
    <row r="2" spans="1:23" s="148" customFormat="1" ht="10.050000000000001" customHeight="1" x14ac:dyDescent="0.2">
      <c r="A2" s="141"/>
      <c r="B2" s="142"/>
      <c r="C2" s="143"/>
      <c r="D2" s="144"/>
      <c r="E2" s="144"/>
      <c r="F2" s="145"/>
      <c r="G2" s="146"/>
      <c r="H2" s="145"/>
      <c r="I2" s="145"/>
      <c r="J2" s="145"/>
      <c r="K2" s="145"/>
      <c r="L2" s="147"/>
      <c r="M2" s="141"/>
      <c r="N2" s="135"/>
      <c r="O2" s="785"/>
      <c r="P2" s="1178" t="str">
        <f>IF(VLOOKUP(CONCATENATE($C$3,"-",41),Languages!$A:$D,1,TRUE)=CONCATENATE($C$3,"-",41),VLOOKUP(CONCATENATE($C$3,"-",41),Languages!$A:$D,Summary!$C$7,TRUE),NA())</f>
        <v>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v>
      </c>
      <c r="Q2" s="1178"/>
      <c r="R2" s="1178"/>
      <c r="S2" s="1178"/>
      <c r="T2" s="1178"/>
      <c r="U2" s="1178"/>
      <c r="V2" s="1178"/>
      <c r="W2" s="135"/>
    </row>
    <row r="3" spans="1:23" s="148" customFormat="1" ht="18" customHeight="1" x14ac:dyDescent="0.2">
      <c r="A3" s="141"/>
      <c r="B3" s="149"/>
      <c r="C3" s="150" t="s">
        <v>420</v>
      </c>
      <c r="E3" s="1108" t="s">
        <v>3357</v>
      </c>
      <c r="F3" s="151"/>
      <c r="G3" s="152"/>
      <c r="H3" s="153" t="str">
        <f>IF(VLOOKUP("GEN-SEC",Languages!$A:$D,1,TRUE)="GEN-SEC",VLOOKUP("GEN-SEC",Languages!$A:$D,Summary!$C$7,TRUE),NA())</f>
        <v>Tiedon luokittelu</v>
      </c>
      <c r="I3" s="151"/>
      <c r="J3" s="151"/>
      <c r="K3" s="151"/>
      <c r="L3" s="154"/>
      <c r="M3" s="141"/>
      <c r="N3" s="135"/>
      <c r="O3" s="785"/>
      <c r="P3" s="1178"/>
      <c r="Q3" s="1178"/>
      <c r="R3" s="1178"/>
      <c r="S3" s="1178"/>
      <c r="T3" s="1178"/>
      <c r="U3" s="1178"/>
      <c r="V3" s="1178"/>
      <c r="W3" s="135"/>
    </row>
    <row r="4" spans="1:23" s="148" customFormat="1" ht="19.95" customHeight="1" x14ac:dyDescent="0.3">
      <c r="A4" s="141"/>
      <c r="B4" s="149"/>
      <c r="C4" s="155" t="str">
        <f>IF(VLOOKUP($C$3,Languages!$A:$D,1,TRUE)=$C$3,VLOOKUP($C$3,Languages!$A:$D,Summary!$C$7,TRUE),NA())</f>
        <v>Kyberturvallisuuden arviointityökalu</v>
      </c>
      <c r="E4" s="156"/>
      <c r="F4" s="151"/>
      <c r="G4" s="152"/>
      <c r="H4" s="1009"/>
      <c r="I4" s="151"/>
      <c r="J4" s="151"/>
      <c r="K4" s="151"/>
      <c r="L4" s="154"/>
      <c r="M4" s="141"/>
      <c r="N4" s="135"/>
      <c r="O4" s="785"/>
      <c r="P4" s="1178"/>
      <c r="Q4" s="1178"/>
      <c r="R4" s="1178"/>
      <c r="S4" s="1178"/>
      <c r="T4" s="1178"/>
      <c r="U4" s="1178"/>
      <c r="V4" s="1178"/>
      <c r="W4" s="135"/>
    </row>
    <row r="5" spans="1:23" s="140" customFormat="1" ht="10.050000000000001" customHeight="1" x14ac:dyDescent="0.25">
      <c r="A5" s="135"/>
      <c r="B5" s="157"/>
      <c r="C5" s="158"/>
      <c r="D5" s="159"/>
      <c r="E5" s="159"/>
      <c r="F5" s="159"/>
      <c r="G5" s="160"/>
      <c r="H5" s="159"/>
      <c r="I5" s="160"/>
      <c r="J5" s="160"/>
      <c r="K5" s="160"/>
      <c r="L5" s="161"/>
      <c r="M5" s="250"/>
      <c r="N5" s="135"/>
      <c r="O5" s="786"/>
      <c r="P5" s="1178"/>
      <c r="Q5" s="1178"/>
      <c r="R5" s="1178"/>
      <c r="S5" s="1178"/>
      <c r="T5" s="1178"/>
      <c r="U5" s="1178"/>
      <c r="V5" s="1178"/>
      <c r="W5" s="135"/>
    </row>
    <row r="6" spans="1:23" s="140" customFormat="1" ht="101.4" customHeight="1" thickBot="1" x14ac:dyDescent="0.3">
      <c r="A6" s="135"/>
      <c r="B6" s="157"/>
      <c r="C6" s="1153" t="str">
        <f>IF(VLOOKUP(CONCATENATE(C3,"-0"),Languages!$A:$D,1,TRUE)=CONCATENATE(C3,"-0"),VLOOKUP(CONCATENATE(C3,"-0"),Languages!$A:$D,Summary!$C$7,TRUE),NA())</f>
        <v xml:space="preserve">Kybermittari versio 2.1, 29.08.2023
https://www.kybermittari.fi 
Palaute ja kysymykset: kybermittari(at)traficom.fi
Materiaali on käytettävissä Creative Commons Nimeä 4.0 / CC BY 4.0 lisenssiehtojen mukaisesti. 
Kybermittari on rekisteröity tavaramerkki (sanamerkki). </v>
      </c>
      <c r="D6" s="1153"/>
      <c r="E6" s="1153"/>
      <c r="F6" s="1153"/>
      <c r="G6" s="1153"/>
      <c r="H6" s="1153"/>
      <c r="I6" s="1153"/>
      <c r="J6" s="1153"/>
      <c r="K6" s="162"/>
      <c r="L6" s="161"/>
      <c r="M6" s="250"/>
      <c r="N6" s="135"/>
      <c r="O6" s="786"/>
      <c r="P6" s="1178"/>
      <c r="Q6" s="1178"/>
      <c r="R6" s="1178"/>
      <c r="S6" s="1178"/>
      <c r="T6" s="1178"/>
      <c r="U6" s="1178"/>
      <c r="V6" s="1178"/>
      <c r="W6" s="135"/>
    </row>
    <row r="7" spans="1:23" s="140" customFormat="1" ht="18" customHeight="1" thickBot="1" x14ac:dyDescent="0.3">
      <c r="A7" s="135"/>
      <c r="B7" s="157"/>
      <c r="C7" s="163">
        <f>MATCH(H7,Languages!1:1,0)</f>
        <v>3</v>
      </c>
      <c r="E7" s="1180" t="s">
        <v>593</v>
      </c>
      <c r="F7" s="1181"/>
      <c r="G7" s="164"/>
      <c r="H7" s="1010" t="s">
        <v>590</v>
      </c>
      <c r="I7" s="165"/>
      <c r="J7" s="165"/>
      <c r="K7" s="165"/>
      <c r="L7" s="161"/>
      <c r="M7" s="250"/>
      <c r="N7" s="135"/>
      <c r="O7" s="786"/>
      <c r="P7" s="1178"/>
      <c r="Q7" s="1178"/>
      <c r="R7" s="1178"/>
      <c r="S7" s="1178"/>
      <c r="T7" s="1178"/>
      <c r="U7" s="1178"/>
      <c r="V7" s="1178"/>
      <c r="W7" s="135"/>
    </row>
    <row r="8" spans="1:23" s="140" customFormat="1" ht="10.050000000000001" customHeight="1" x14ac:dyDescent="0.25">
      <c r="A8" s="135"/>
      <c r="B8" s="157"/>
      <c r="C8" s="163"/>
      <c r="D8" s="153"/>
      <c r="E8" s="153"/>
      <c r="F8" s="153"/>
      <c r="G8" s="164"/>
      <c r="H8" s="165"/>
      <c r="I8" s="165"/>
      <c r="J8" s="165"/>
      <c r="K8" s="165"/>
      <c r="L8" s="161"/>
      <c r="M8" s="250"/>
      <c r="N8" s="135"/>
      <c r="O8" s="786"/>
      <c r="P8" s="1178"/>
      <c r="Q8" s="1178"/>
      <c r="R8" s="1178"/>
      <c r="S8" s="1178"/>
      <c r="T8" s="1178"/>
      <c r="U8" s="1178"/>
      <c r="V8" s="1178"/>
      <c r="W8" s="135"/>
    </row>
    <row r="9" spans="1:23" s="177" customFormat="1" ht="25.05" customHeight="1" x14ac:dyDescent="0.25">
      <c r="A9" s="166"/>
      <c r="B9" s="167"/>
      <c r="C9" s="168">
        <v>10</v>
      </c>
      <c r="D9" s="169" t="str">
        <f>IF(VLOOKUP(CONCATENATE($C$3,"-",C9),Languages!$A:$D,1,TRUE)=CONCATENATE($C$3,"-",C9),VLOOKUP(CONCATENATE($C$3,"-",C9),Languages!$A:$D,Summary!$C$7,TRUE),NA())</f>
        <v>Organisaatio</v>
      </c>
      <c r="E9" s="170"/>
      <c r="F9" s="170"/>
      <c r="G9" s="171"/>
      <c r="H9" s="170"/>
      <c r="I9" s="170" t="str">
        <f>IFERROR(INT(LEFT(#REF!,1)),"")</f>
        <v/>
      </c>
      <c r="J9" s="170"/>
      <c r="K9" s="172"/>
      <c r="L9" s="173"/>
      <c r="M9" s="174"/>
      <c r="N9" s="135"/>
      <c r="O9" s="787"/>
      <c r="P9" s="1178"/>
      <c r="Q9" s="1178"/>
      <c r="R9" s="1178"/>
      <c r="S9" s="1178"/>
      <c r="T9" s="1178"/>
      <c r="U9" s="1178"/>
      <c r="V9" s="1178"/>
      <c r="W9" s="135"/>
    </row>
    <row r="10" spans="1:23" s="184" customFormat="1" ht="10.050000000000001" customHeight="1" x14ac:dyDescent="0.25">
      <c r="A10" s="178"/>
      <c r="B10" s="179"/>
      <c r="C10" s="1147"/>
      <c r="D10" s="1147"/>
      <c r="E10" s="1147"/>
      <c r="F10" s="1147"/>
      <c r="G10" s="1147"/>
      <c r="H10" s="1147"/>
      <c r="I10" s="1147"/>
      <c r="J10" s="1147"/>
      <c r="K10" s="165"/>
      <c r="L10" s="180"/>
      <c r="M10" s="181"/>
      <c r="N10" s="135"/>
      <c r="O10" s="788"/>
      <c r="P10" s="1178"/>
      <c r="Q10" s="1178"/>
      <c r="R10" s="1178"/>
      <c r="S10" s="1178"/>
      <c r="T10" s="1178"/>
      <c r="U10" s="1178"/>
      <c r="V10" s="1178"/>
      <c r="W10" s="135"/>
    </row>
    <row r="11" spans="1:23" s="184" customFormat="1" ht="28.8" customHeight="1" x14ac:dyDescent="0.25">
      <c r="A11" s="178"/>
      <c r="B11" s="185">
        <v>11</v>
      </c>
      <c r="C11" s="186"/>
      <c r="D11" s="165" t="str">
        <f>IF(VLOOKUP(CONCATENATE($C$3,"-",B11),Languages!$A:$D,1,TRUE)=CONCATENATE($C$3,"-",B11),VLOOKUP(CONCATENATE($C$3,"-",B11),Languages!$A:$D,Summary!$C$7,TRUE),NA())</f>
        <v>Nimi</v>
      </c>
      <c r="E11" s="1167"/>
      <c r="F11" s="1167"/>
      <c r="G11" s="187"/>
      <c r="H11" s="165" t="str">
        <f>IF(VLOOKUP(CONCATENATE($C$3,"-",L11),Languages!$A:$D,1,TRUE)=CONCATENATE($C$3,"-",L11),VLOOKUP(CONCATENATE($C$3,"-",L11),Languages!$A:$D,Summary!$C$7,TRUE),NA())</f>
        <v>Yhteyshenkilön sähköposti</v>
      </c>
      <c r="I11" s="1168"/>
      <c r="J11" s="1167"/>
      <c r="K11" s="188"/>
      <c r="L11" s="189">
        <v>14</v>
      </c>
      <c r="M11" s="315"/>
      <c r="N11" s="135"/>
      <c r="O11" s="789"/>
      <c r="P11" s="1178"/>
      <c r="Q11" s="1178"/>
      <c r="R11" s="1178"/>
      <c r="S11" s="1178"/>
      <c r="T11" s="1178"/>
      <c r="U11" s="1178"/>
      <c r="V11" s="1178"/>
      <c r="W11" s="135"/>
    </row>
    <row r="12" spans="1:23" s="184" customFormat="1" ht="18" customHeight="1" x14ac:dyDescent="0.25">
      <c r="A12" s="178"/>
      <c r="B12" s="185">
        <v>12</v>
      </c>
      <c r="C12" s="186"/>
      <c r="D12" s="165" t="str">
        <f>IF(VLOOKUP(CONCATENATE($C$3,"-",B12),Languages!$A:$D,1,TRUE)=CONCATENATE($C$3,"-",B12),VLOOKUP(CONCATENATE($C$3,"-",B12),Languages!$A:$D,Summary!$C$7,TRUE),NA())</f>
        <v>Toimiala</v>
      </c>
      <c r="E12" s="1155"/>
      <c r="F12" s="1155"/>
      <c r="G12" s="190"/>
      <c r="H12" s="1008" t="str">
        <f>IF(VLOOKUP(CONCATENATE($C$3,"-",L12),Languages!$A:$D,1,TRUE)=CONCATENATE($C$3,"-",L12),VLOOKUP(CONCATENATE($C$3,"-",L12),Languages!$A:$D,Summary!$C$7,TRUE),NA())</f>
        <v>Y-tunnus</v>
      </c>
      <c r="I12" s="1155"/>
      <c r="J12" s="1155"/>
      <c r="K12" s="188"/>
      <c r="L12" s="189">
        <v>24</v>
      </c>
      <c r="M12" s="315"/>
      <c r="N12" s="135"/>
      <c r="O12" s="789"/>
      <c r="P12" s="1178"/>
      <c r="Q12" s="1178"/>
      <c r="R12" s="1178"/>
      <c r="S12" s="1178"/>
      <c r="T12" s="1178"/>
      <c r="U12" s="1178"/>
      <c r="V12" s="1178"/>
      <c r="W12" s="135"/>
    </row>
    <row r="13" spans="1:23" s="184" customFormat="1" ht="26.4" customHeight="1" x14ac:dyDescent="0.25">
      <c r="A13" s="178"/>
      <c r="B13" s="185">
        <v>13</v>
      </c>
      <c r="C13" s="186"/>
      <c r="D13" s="165" t="str">
        <f>IF(VLOOKUP(CONCATENATE($C$3,"-",B13),Languages!$A:$D,1,TRUE)=CONCATENATE($C$3,"-",B13),VLOOKUP(CONCATENATE($C$3,"-",B13),Languages!$A:$D,Summary!$C$7,TRUE),NA())</f>
        <v>Toiminto</v>
      </c>
      <c r="E13" s="1155"/>
      <c r="F13" s="1155"/>
      <c r="G13" s="190"/>
      <c r="H13" s="165" t="str">
        <f>IF(VLOOKUP(CONCATENATE($C$3,"-",L13),Languages!$A:$D,1,TRUE)=CONCATENATE($C$3,"-",L13),VLOOKUP(CONCATENATE($C$3,"-",L13),Languages!$A:$D,Summary!$C$7,TRUE),NA())</f>
        <v>Arvioinnin vetäjä</v>
      </c>
      <c r="I13" s="1155"/>
      <c r="J13" s="1155"/>
      <c r="K13" s="188"/>
      <c r="L13" s="189">
        <v>15</v>
      </c>
      <c r="M13" s="462"/>
      <c r="N13" s="135"/>
      <c r="O13" s="789"/>
      <c r="P13" s="1178"/>
      <c r="Q13" s="1178"/>
      <c r="R13" s="1178"/>
      <c r="S13" s="1178"/>
      <c r="T13" s="1178"/>
      <c r="U13" s="1178"/>
      <c r="V13" s="1178"/>
      <c r="W13" s="178"/>
    </row>
    <row r="14" spans="1:23" s="184" customFormat="1" ht="18" customHeight="1" x14ac:dyDescent="0.25">
      <c r="A14" s="178"/>
      <c r="B14" s="185">
        <v>18</v>
      </c>
      <c r="C14" s="186"/>
      <c r="D14" s="434" t="str">
        <f>IF(VLOOKUP(CONCATENATE($C$3,"-",B14),Languages!$A:$D,1,TRUE)=CONCATENATE($C$3,"-",B14),VLOOKUP(CONCATENATE($C$3,"-",B14),Languages!$A:$D,Summary!$C$7,TRUE),NA())</f>
        <v>Aloitus pvm.</v>
      </c>
      <c r="E14" s="1154"/>
      <c r="F14" s="1154"/>
      <c r="G14" s="190"/>
      <c r="H14" s="434"/>
      <c r="I14" s="1169"/>
      <c r="J14" s="1169"/>
      <c r="K14" s="188"/>
      <c r="L14" s="205"/>
      <c r="M14" s="462"/>
      <c r="N14" s="135"/>
      <c r="O14" s="789"/>
      <c r="P14" s="1178"/>
      <c r="Q14" s="1178"/>
      <c r="R14" s="1178"/>
      <c r="S14" s="1178"/>
      <c r="T14" s="1178"/>
      <c r="U14" s="1178"/>
      <c r="V14" s="1178"/>
      <c r="W14" s="178"/>
    </row>
    <row r="15" spans="1:23" s="184" customFormat="1" ht="24" customHeight="1" x14ac:dyDescent="0.25">
      <c r="A15" s="178"/>
      <c r="B15" s="185">
        <v>19</v>
      </c>
      <c r="C15" s="186"/>
      <c r="D15" s="434" t="str">
        <f>IF(VLOOKUP(CONCATENATE($C$3,"-",B15),Languages!$A:$D,1,TRUE)=CONCATENATE($C$3,"-",B15),VLOOKUP(CONCATENATE($C$3,"-",B15),Languages!$A:$D,Summary!$C$7,TRUE),NA())</f>
        <v>Viimeinen muutos</v>
      </c>
      <c r="E15" s="1154"/>
      <c r="F15" s="1154"/>
      <c r="G15" s="190"/>
      <c r="H15" s="434" t="str">
        <f>IF(VLOOKUP(CONCATENATE($C$3,"-",L15),Languages!$A:$D,1,TRUE)=CONCATENATE($C$3,"-",L15),VLOOKUP(CONCATENATE($C$3,"-",L15),Languages!$A:$D,Summary!$C$7,TRUE),NA())</f>
        <v>Seuraava arviointi</v>
      </c>
      <c r="I15" s="1182"/>
      <c r="J15" s="1182"/>
      <c r="K15" s="188"/>
      <c r="L15" s="205">
        <v>42</v>
      </c>
      <c r="M15" s="462"/>
      <c r="N15" s="135"/>
      <c r="O15" s="789"/>
      <c r="P15" s="1178"/>
      <c r="Q15" s="1178"/>
      <c r="R15" s="1178"/>
      <c r="S15" s="1178"/>
      <c r="T15" s="1178"/>
      <c r="U15" s="1178"/>
      <c r="V15" s="1178"/>
      <c r="W15" s="178"/>
    </row>
    <row r="16" spans="1:23" s="177" customFormat="1" ht="10.050000000000001" customHeight="1" x14ac:dyDescent="0.25">
      <c r="A16" s="166"/>
      <c r="B16" s="191"/>
      <c r="C16" s="192"/>
      <c r="D16" s="193"/>
      <c r="E16" s="193"/>
      <c r="F16" s="194"/>
      <c r="G16" s="190"/>
      <c r="H16" s="165"/>
      <c r="I16" s="193"/>
      <c r="J16" s="193"/>
      <c r="K16" s="193"/>
      <c r="L16" s="205">
        <v>42</v>
      </c>
      <c r="M16" s="462"/>
      <c r="N16" s="135"/>
      <c r="O16" s="774"/>
      <c r="P16" s="544"/>
      <c r="Q16" s="545"/>
      <c r="R16" s="545"/>
      <c r="S16" s="545"/>
      <c r="T16" s="545"/>
      <c r="U16" s="545"/>
      <c r="V16" s="545"/>
      <c r="W16" s="315"/>
    </row>
    <row r="17" spans="1:23" s="203" customFormat="1" ht="19.95" customHeight="1" x14ac:dyDescent="0.25">
      <c r="A17" s="181"/>
      <c r="B17" s="195">
        <v>16</v>
      </c>
      <c r="C17" s="186"/>
      <c r="D17" s="196" t="str">
        <f>IF(VLOOKUP(CONCATENATE($C$3,"-",B17),Languages!$A:$D,1,TRUE)=CONCATENATE($C$3,"-",B17),VLOOKUP(CONCATENATE($C$3,"-",B17),Languages!$A:$D,Summary!$C$7,TRUE),NA())</f>
        <v>Kuvaus arvioitavasta toiminnosta</v>
      </c>
      <c r="E17" s="197"/>
      <c r="F17" s="197"/>
      <c r="G17" s="198"/>
      <c r="H17" s="197"/>
      <c r="I17" s="199"/>
      <c r="J17" s="199"/>
      <c r="K17" s="199"/>
      <c r="L17" s="205">
        <v>42</v>
      </c>
      <c r="M17" s="462"/>
      <c r="N17" s="135"/>
      <c r="O17" s="775"/>
      <c r="P17" s="779" t="str">
        <f>IF(VLOOKUP("KM100",Languages!$A:$D,1,TRUE)="KM100",VLOOKUP("KM100",Languages!$A:$D,Summary!$C$7,TRUE),NA())</f>
        <v>Toiminto</v>
      </c>
      <c r="Q17" s="779" t="str">
        <f>IF(VLOOKUP("KM101",Languages!$A:$D,1,TRUE)="KM101",VLOOKUP("KM101",Languages!$A:$D,Summary!$C$7,TRUE),NA())</f>
        <v>Prosessit</v>
      </c>
      <c r="R17" s="779" t="str">
        <f>IF(VLOOKUP("KM102",Languages!$A:$D,1,TRUE)="KM102",VLOOKUP("KM102",Languages!$A:$D,Summary!$C$7,TRUE),NA())</f>
        <v>Järjestelmät</v>
      </c>
      <c r="S17" s="779" t="str">
        <f>IF(VLOOKUP("KM103",Languages!$A:$D,1,TRUE)="KM103",VLOOKUP("KM103",Languages!$A:$D,Summary!$C$7,TRUE),NA())</f>
        <v>Vaikutus muihin organisaatioihin</v>
      </c>
      <c r="T17" s="779" t="str">
        <f>IF(VLOOKUP("KM104",Languages!$A:$D,1,TRUE)="KM104",VLOOKUP("KM104",Languages!$A:$D,Summary!$C$7,TRUE),NA())</f>
        <v>Toimittajat</v>
      </c>
      <c r="U17" s="779" t="str">
        <f>IF(VLOOKUP("KM105",Languages!$A:$D,1,TRUE)="KM105",VLOOKUP("KM105",Languages!$A:$D,Summary!$C$7,TRUE),NA())</f>
        <v>Sisäiset riippuvuudet</v>
      </c>
      <c r="V17" s="780"/>
      <c r="W17" s="462"/>
    </row>
    <row r="18" spans="1:23" s="203" customFormat="1" ht="30" customHeight="1" x14ac:dyDescent="0.25">
      <c r="A18" s="181"/>
      <c r="B18" s="204"/>
      <c r="C18" s="186"/>
      <c r="D18" s="1158"/>
      <c r="E18" s="1159"/>
      <c r="F18" s="1159"/>
      <c r="G18" s="1159"/>
      <c r="H18" s="1159"/>
      <c r="I18" s="1159"/>
      <c r="J18" s="1160"/>
      <c r="K18" s="459"/>
      <c r="L18" s="205">
        <v>42</v>
      </c>
      <c r="M18" s="462"/>
      <c r="N18" s="135"/>
      <c r="O18" s="776"/>
      <c r="P18" s="794"/>
      <c r="Q18" s="795"/>
      <c r="R18" s="795"/>
      <c r="S18" s="795"/>
      <c r="T18" s="795"/>
      <c r="U18" s="795"/>
      <c r="V18" s="781"/>
      <c r="W18" s="462"/>
    </row>
    <row r="19" spans="1:23" s="203" customFormat="1" ht="30" customHeight="1" x14ac:dyDescent="0.25">
      <c r="A19" s="181"/>
      <c r="B19" s="204"/>
      <c r="C19" s="186"/>
      <c r="D19" s="1161"/>
      <c r="E19" s="1162"/>
      <c r="F19" s="1162"/>
      <c r="G19" s="1162"/>
      <c r="H19" s="1162"/>
      <c r="I19" s="1162"/>
      <c r="J19" s="1163"/>
      <c r="K19" s="460"/>
      <c r="L19" s="205">
        <v>42</v>
      </c>
      <c r="M19" s="462"/>
      <c r="N19" s="135"/>
      <c r="O19" s="776"/>
      <c r="P19" s="794"/>
      <c r="Q19" s="795"/>
      <c r="R19" s="795"/>
      <c r="S19" s="795"/>
      <c r="T19" s="795"/>
      <c r="U19" s="795"/>
      <c r="V19" s="781"/>
      <c r="W19" s="462"/>
    </row>
    <row r="20" spans="1:23" s="203" customFormat="1" ht="30" customHeight="1" x14ac:dyDescent="0.25">
      <c r="A20" s="181"/>
      <c r="B20" s="204"/>
      <c r="C20" s="186"/>
      <c r="D20" s="1164"/>
      <c r="E20" s="1165"/>
      <c r="F20" s="1165"/>
      <c r="G20" s="1165"/>
      <c r="H20" s="1165"/>
      <c r="I20" s="1165"/>
      <c r="J20" s="1166"/>
      <c r="K20" s="460"/>
      <c r="L20" s="205">
        <v>42</v>
      </c>
      <c r="M20" s="462"/>
      <c r="N20" s="135"/>
      <c r="O20" s="776"/>
      <c r="P20" s="796"/>
      <c r="Q20" s="796"/>
      <c r="R20" s="796"/>
      <c r="S20" s="795"/>
      <c r="T20" s="795"/>
      <c r="U20" s="795"/>
      <c r="V20" s="781"/>
      <c r="W20" s="462"/>
    </row>
    <row r="21" spans="1:23" s="203" customFormat="1" ht="30" customHeight="1" x14ac:dyDescent="0.25">
      <c r="A21" s="181"/>
      <c r="B21" s="195">
        <v>17</v>
      </c>
      <c r="C21" s="209"/>
      <c r="D21" s="172" t="str">
        <f>IF(VLOOKUP(CONCATENATE($C$3,"-",B21),Languages!$A:$D,1,TRUE)=CONCATENATE($C$3,"-",B21),VLOOKUP(CONCATENATE($C$3,"-",B21),Languages!$A:$D,Summary!$C$7,TRUE),NA())</f>
        <v>Toiminnon yhteiskunnallinen vaikuttavuus</v>
      </c>
      <c r="E21" s="172"/>
      <c r="F21" s="206"/>
      <c r="G21" s="199"/>
      <c r="H21" s="207"/>
      <c r="I21" s="207"/>
      <c r="J21" s="207"/>
      <c r="K21" s="460"/>
      <c r="L21" s="205">
        <v>42</v>
      </c>
      <c r="M21" s="462"/>
      <c r="N21" s="135"/>
      <c r="O21" s="776"/>
      <c r="P21" s="796"/>
      <c r="Q21" s="796"/>
      <c r="R21" s="796"/>
      <c r="S21" s="795"/>
      <c r="T21" s="795"/>
      <c r="U21" s="795"/>
      <c r="V21" s="781"/>
      <c r="W21" s="462"/>
    </row>
    <row r="22" spans="1:23" s="203" customFormat="1" ht="30" customHeight="1" x14ac:dyDescent="0.25">
      <c r="A22" s="181"/>
      <c r="B22" s="204">
        <v>39</v>
      </c>
      <c r="C22" s="186"/>
      <c r="D22" s="1171" t="str">
        <f>IF(VLOOKUP(CONCATENATE($C$3,"-",B22),Languages!$A:$D,1,TRUE)=CONCATENATE($C$3,"-",B22),VLOOKUP(CONCATENATE($C$3,"-",B22),Languages!$A:$D,Summary!$C$7,TRUE),NA())</f>
        <v>Uhkaskenaarion kuvaus (worst-case)</v>
      </c>
      <c r="E22" s="1171"/>
      <c r="F22" s="1171"/>
      <c r="H22" s="699">
        <v>40</v>
      </c>
      <c r="I22" s="1170" t="str">
        <f>IF(VLOOKUP(CONCATENATE($C$3,"-",H22),Languages!$A:$D,1,TRUE)=CONCATENATE($C$3,"-",H22),VLOOKUP(CONCATENATE($C$3,"-",H22),Languages!$A:$D,Summary!$C$7,TRUE),NA())</f>
        <v>Skenaarion yhteiskunnallinen vaikuttavuus</v>
      </c>
      <c r="J22" s="1170"/>
      <c r="K22" s="460"/>
      <c r="L22" s="205">
        <v>42</v>
      </c>
      <c r="M22" s="462"/>
      <c r="N22" s="135"/>
      <c r="O22" s="776"/>
      <c r="P22" s="796"/>
      <c r="Q22" s="796"/>
      <c r="R22" s="796"/>
      <c r="S22" s="795"/>
      <c r="T22" s="795"/>
      <c r="U22" s="795"/>
      <c r="V22" s="781"/>
      <c r="W22" s="462"/>
    </row>
    <row r="23" spans="1:23" s="203" customFormat="1" ht="30" customHeight="1" x14ac:dyDescent="0.25">
      <c r="A23" s="181"/>
      <c r="B23" s="204"/>
      <c r="D23" s="1172"/>
      <c r="E23" s="1173"/>
      <c r="F23" s="1173"/>
      <c r="G23" s="1174"/>
      <c r="H23" s="207"/>
      <c r="I23" s="1156" t="s">
        <v>596</v>
      </c>
      <c r="J23" s="1157"/>
      <c r="K23" s="460"/>
      <c r="L23" s="205">
        <v>42</v>
      </c>
      <c r="M23" s="462"/>
      <c r="N23" s="135"/>
      <c r="O23" s="776"/>
      <c r="P23" s="796"/>
      <c r="Q23" s="796"/>
      <c r="R23" s="796"/>
      <c r="S23" s="795"/>
      <c r="T23" s="795"/>
      <c r="U23" s="795"/>
      <c r="V23" s="781"/>
      <c r="W23" s="462"/>
    </row>
    <row r="24" spans="1:23" s="203" customFormat="1" ht="30" customHeight="1" x14ac:dyDescent="0.25">
      <c r="A24" s="181"/>
      <c r="B24" s="204"/>
      <c r="D24" s="1175"/>
      <c r="E24" s="1176"/>
      <c r="F24" s="1176"/>
      <c r="G24" s="1177"/>
      <c r="K24" s="460"/>
      <c r="L24" s="205">
        <v>42</v>
      </c>
      <c r="M24" s="462"/>
      <c r="N24" s="135"/>
      <c r="O24" s="777"/>
      <c r="P24" s="458"/>
      <c r="Q24" s="458"/>
      <c r="R24" s="458"/>
      <c r="S24" s="543"/>
      <c r="T24" s="543"/>
      <c r="U24" s="543"/>
      <c r="V24" s="781"/>
      <c r="W24" s="462"/>
    </row>
    <row r="25" spans="1:23" s="203" customFormat="1" ht="13.05" customHeight="1" x14ac:dyDescent="0.25">
      <c r="A25" s="181"/>
      <c r="B25" s="204"/>
      <c r="D25" s="323"/>
      <c r="E25" s="323"/>
      <c r="F25" s="323"/>
      <c r="G25" s="323"/>
      <c r="K25" s="460"/>
      <c r="L25" s="205">
        <v>42</v>
      </c>
      <c r="M25" s="462"/>
      <c r="N25" s="135"/>
      <c r="O25" s="777"/>
      <c r="P25" s="458"/>
      <c r="Q25" s="458"/>
      <c r="R25" s="458"/>
      <c r="S25" s="543"/>
      <c r="T25" s="543"/>
      <c r="U25" s="543"/>
      <c r="V25" s="781"/>
      <c r="W25" s="462"/>
    </row>
    <row r="26" spans="1:23" s="203" customFormat="1" ht="19.95" customHeight="1" x14ac:dyDescent="0.25">
      <c r="A26" s="181"/>
      <c r="B26" s="167"/>
      <c r="C26" s="168">
        <v>20</v>
      </c>
      <c r="D26" s="169" t="str">
        <f>IF(VLOOKUP(CONCATENATE($C$3,"-",C26),Languages!$A:$D,1,TRUE)=CONCATENATE($C$3,"-",C26),VLOOKUP(CONCATENATE($C$3,"-",C26),Languages!$A:$D,Summary!$C$7,TRUE),NA())</f>
        <v>Kyberturvallisuuden arviointi</v>
      </c>
      <c r="E26" s="170"/>
      <c r="F26" s="170"/>
      <c r="G26" s="171"/>
      <c r="H26" s="170"/>
      <c r="I26" s="170" t="str">
        <f>IFERROR(INT(LEFT(#REF!,1)),"")</f>
        <v/>
      </c>
      <c r="J26" s="170"/>
      <c r="K26" s="172"/>
      <c r="L26" s="205">
        <v>42</v>
      </c>
      <c r="M26" s="462"/>
      <c r="N26" s="135"/>
      <c r="O26" s="778"/>
      <c r="P26" s="782"/>
      <c r="Q26" s="783"/>
      <c r="R26" s="783"/>
      <c r="S26" s="783"/>
      <c r="T26" s="783"/>
      <c r="U26" s="783"/>
      <c r="V26" s="784"/>
      <c r="W26" s="462"/>
    </row>
    <row r="27" spans="1:23" s="184" customFormat="1" ht="10.050000000000001" customHeight="1" x14ac:dyDescent="0.25">
      <c r="A27" s="178"/>
      <c r="B27" s="179"/>
      <c r="C27" s="1147"/>
      <c r="D27" s="1147"/>
      <c r="E27" s="1147"/>
      <c r="F27" s="1147"/>
      <c r="G27" s="1147"/>
      <c r="H27" s="1147"/>
      <c r="I27" s="1147"/>
      <c r="J27" s="1147"/>
      <c r="K27" s="434"/>
      <c r="L27" s="205">
        <v>42</v>
      </c>
      <c r="M27" s="462"/>
      <c r="N27" s="135"/>
      <c r="O27" s="476"/>
      <c r="P27" s="461"/>
      <c r="Q27" s="461"/>
      <c r="R27" s="461"/>
      <c r="S27" s="461"/>
      <c r="T27" s="461"/>
      <c r="U27" s="461"/>
      <c r="V27" s="461"/>
      <c r="W27" s="315"/>
    </row>
    <row r="28" spans="1:23" s="177" customFormat="1" ht="19.95" customHeight="1" x14ac:dyDescent="0.25">
      <c r="A28" s="166"/>
      <c r="B28" s="208">
        <v>21</v>
      </c>
      <c r="C28" s="209"/>
      <c r="D28" s="172" t="str">
        <f>IF(VLOOKUP(CONCATENATE($C$3,"-",B28),Languages!$A:$D,1,TRUE)=CONCATENATE($C$3,"-",B28),VLOOKUP(CONCATENATE($C$3,"-",B28),Languages!$A:$D,Summary!$C$7,TRUE),NA())</f>
        <v>Kyberturvallisuuden osiot</v>
      </c>
      <c r="E28" s="210"/>
      <c r="F28" s="211"/>
      <c r="G28" s="212"/>
      <c r="H28" s="213"/>
      <c r="I28" s="214"/>
      <c r="J28" s="214"/>
      <c r="K28" s="214"/>
      <c r="L28" s="215"/>
      <c r="M28" s="174"/>
      <c r="N28" s="201"/>
      <c r="O28" s="201"/>
      <c r="P28" s="175"/>
      <c r="Q28" s="176"/>
      <c r="R28" s="176"/>
      <c r="S28" s="176"/>
      <c r="T28" s="176"/>
      <c r="U28" s="176"/>
      <c r="V28" s="176"/>
    </row>
    <row r="29" spans="1:23" s="203" customFormat="1" ht="22.05" customHeight="1" x14ac:dyDescent="0.25">
      <c r="A29" s="178"/>
      <c r="B29" s="208" t="s">
        <v>56</v>
      </c>
      <c r="C29" s="218">
        <f t="shared" ref="C29:C34" ca="1" si="0">RIGHT(F29,2) - LEFT(F29,2)</f>
        <v>27</v>
      </c>
      <c r="D29" s="1179" t="str">
        <f>HYPERLINK("#'" &amp; $B29 &amp; "'!B2",IF(VLOOKUP($B29,Languages!$A:$D,1,TRUE)=$B29,VLOOKUP($B29,Languages!$A:$D,Summary!$C$7,TRUE),NA()))</f>
        <v>Kriittisten palveluiden suojaaminen (CRITICAL)</v>
      </c>
      <c r="E29" s="1179"/>
      <c r="F29" s="1150" t="str">
        <f ca="1">COUNTIF(Data!$A:$A,$B29) - COUNTIF(INDIRECT("'"&amp;$B29&amp;"'!"&amp;"$F:$F"),0) &amp; " / " &amp; COUNTIF(Data!$A:$A,$B29)</f>
        <v>0 / 27</v>
      </c>
      <c r="G29" s="1150"/>
      <c r="H29" s="1183"/>
      <c r="I29" s="1183"/>
      <c r="J29" s="429"/>
      <c r="K29" s="436"/>
      <c r="L29" s="219"/>
      <c r="M29" s="181"/>
      <c r="N29" s="201"/>
      <c r="O29" s="201"/>
      <c r="P29" s="201"/>
      <c r="Q29" s="202"/>
      <c r="R29" s="202"/>
      <c r="S29" s="202"/>
      <c r="T29" s="202"/>
      <c r="U29" s="202"/>
      <c r="V29" s="202"/>
    </row>
    <row r="30" spans="1:23" s="203" customFormat="1" ht="22.05" customHeight="1" x14ac:dyDescent="0.25">
      <c r="A30" s="181"/>
      <c r="B30" s="208" t="s">
        <v>48</v>
      </c>
      <c r="C30" s="218">
        <f ca="1">RIGHT(F30,2) - LEFT(F30,2)</f>
        <v>36</v>
      </c>
      <c r="D30" s="1152" t="str">
        <f>HYPERLINK("#'" &amp; $B30 &amp; "'!B2",IF(VLOOKUP($B30,Languages!$A:$D,1,TRUE)=$B30,VLOOKUP($B30,Languages!$A:$D,Summary!$C$7,TRUE),NA()))</f>
        <v>Omaisuuden, muutosten ja konfiguraation hallinta (ASSET)</v>
      </c>
      <c r="E30" s="1152"/>
      <c r="F30" s="1150" t="str">
        <f ca="1">COUNTIF(Data!$A:$A,$B30) - COUNTIF(INDIRECT("'"&amp;$B30&amp;"'!"&amp;"$F:$F"),0) &amp; " / " &amp; COUNTIF(Data!$A:$A,$B30)</f>
        <v>0 / 36</v>
      </c>
      <c r="G30" s="1150"/>
      <c r="H30" s="1152" t="str">
        <f>HYPERLINK("#'" &amp; $L30 &amp; "'!B2",IF(VLOOKUP($L30,Languages!$A:$D,1,TRUE)=$L30,VLOOKUP($L30,Languages!$A:$D,Summary!$C$7,TRUE),NA()))</f>
        <v>Tapahtumien ja häiriöiden hallinta, toiminnan jatkuvuus (RESPONSE)</v>
      </c>
      <c r="I30" s="1152"/>
      <c r="J30" s="1150" t="str">
        <f ca="1">COUNTIF(Data!$A:$A,$L30) - COUNTIF(INDIRECT("'"&amp;$L30&amp;"'!"&amp;"$F:$F"),0) &amp; " / " &amp; COUNTIF(Data!$A:$A,$L30)</f>
        <v>0 / 49</v>
      </c>
      <c r="K30" s="1150"/>
      <c r="L30" s="220" t="s">
        <v>69</v>
      </c>
      <c r="M30" s="181"/>
      <c r="N30" s="201"/>
      <c r="O30" s="201"/>
      <c r="P30" s="201"/>
      <c r="Q30" s="202"/>
      <c r="R30" s="202"/>
      <c r="S30" s="202"/>
      <c r="T30" s="202"/>
      <c r="U30" s="202"/>
      <c r="V30" s="202"/>
    </row>
    <row r="31" spans="1:23" s="203" customFormat="1" ht="22.05" customHeight="1" x14ac:dyDescent="0.25">
      <c r="A31" s="181"/>
      <c r="B31" s="208" t="s">
        <v>64</v>
      </c>
      <c r="C31" s="218">
        <f t="shared" ca="1" si="0"/>
        <v>30</v>
      </c>
      <c r="D31" s="1152" t="str">
        <f>HYPERLINK("#'" &amp; $B31 &amp; "'!B2",IF(VLOOKUP($B31,Languages!$A:$D,1,TRUE)=$B31,VLOOKUP($B31,Languages!$A:$D,Summary!$C$7,TRUE),NA()))</f>
        <v>Uhkien ja haavoittuvuuksien hallinta (THREAT)</v>
      </c>
      <c r="E31" s="1152"/>
      <c r="F31" s="1150" t="str">
        <f ca="1">COUNTIF(Data!$A:$A,$B31) - COUNTIF(INDIRECT("'"&amp;$B31&amp;"'!"&amp;"$F:$F"),0) &amp; " / " &amp; COUNTIF(Data!$A:$A,$B31)</f>
        <v>0 / 30</v>
      </c>
      <c r="G31" s="1150"/>
      <c r="H31" s="1152" t="str">
        <f>HYPERLINK("#'" &amp; $L31 &amp; "'!B2",IF(VLOOKUP($L31,Languages!$A:$D,1,TRUE)=$L31,VLOOKUP($L31,Languages!$A:$D,Summary!$C$7,TRUE),NA()))</f>
        <v>Kumppaniverkoston riskien hallinta (THIRD-PARTIES)</v>
      </c>
      <c r="I31" s="1152"/>
      <c r="J31" s="1150" t="str">
        <f ca="1">COUNTIF(Data!$A:$A,$L31) - COUNTIF(INDIRECT("'"&amp;$L31&amp;"'!"&amp;"$F:$F"),0) &amp; " / " &amp; COUNTIF(Data!$A:$A,$L31)</f>
        <v>0 / 25</v>
      </c>
      <c r="K31" s="1150"/>
      <c r="L31" s="220" t="s">
        <v>2619</v>
      </c>
      <c r="M31" s="181"/>
      <c r="N31" s="201"/>
      <c r="O31" s="201"/>
      <c r="P31" s="201"/>
      <c r="Q31" s="202"/>
      <c r="R31" s="202"/>
      <c r="S31" s="202"/>
      <c r="T31" s="202"/>
      <c r="U31" s="202"/>
      <c r="V31" s="202"/>
    </row>
    <row r="32" spans="1:23" s="203" customFormat="1" ht="22.05" customHeight="1" x14ac:dyDescent="0.25">
      <c r="A32" s="181"/>
      <c r="B32" s="208" t="s">
        <v>0</v>
      </c>
      <c r="C32" s="218">
        <f t="shared" ca="1" si="0"/>
        <v>39</v>
      </c>
      <c r="D32" s="1152" t="str">
        <f>HYPERLINK("#'" &amp; $B32 &amp; "'!B2",IF(VLOOKUP($B32,Languages!$A:$D,1,TRUE)=$B32,VLOOKUP($B32,Languages!$A:$D,Summary!$C$7,TRUE),NA()))</f>
        <v>Riskienhallinta (RISK)</v>
      </c>
      <c r="E32" s="1152"/>
      <c r="F32" s="1150" t="str">
        <f ca="1">COUNTIF(Data!$A:$A,$B32) - COUNTIF(INDIRECT("'"&amp;$B32&amp;"'!"&amp;"$F:$F"),0) &amp; " / " &amp; COUNTIF(Data!$A:$A,$B32)</f>
        <v>0 / 39</v>
      </c>
      <c r="G32" s="1150"/>
      <c r="H32" s="1152" t="str">
        <f>HYPERLINK("#'" &amp; $L32 &amp; "'!B2",IF(VLOOKUP($L32,Languages!$A:$D,1,TRUE)=$L32,VLOOKUP($L32,Languages!$A:$D,Summary!$C$7,TRUE),NA()))</f>
        <v>Henkilöstön johtaminen ja kehittäminen (WORKFORCE)</v>
      </c>
      <c r="I32" s="1152"/>
      <c r="J32" s="1150" t="str">
        <f ca="1">COUNTIF(Data!$A:$A,$L32) - COUNTIF(INDIRECT("'"&amp;$L32&amp;"'!"&amp;"$F:$F"),0) &amp; " / " &amp; COUNTIF(Data!$A:$A,$L32)</f>
        <v>0 / 32</v>
      </c>
      <c r="K32" s="1150"/>
      <c r="L32" s="220" t="s">
        <v>74</v>
      </c>
      <c r="M32" s="181"/>
      <c r="N32" s="201"/>
      <c r="O32" s="201"/>
      <c r="P32" s="201"/>
      <c r="Q32" s="202"/>
      <c r="R32" s="202"/>
      <c r="S32" s="202"/>
      <c r="T32" s="202"/>
      <c r="U32" s="202"/>
      <c r="V32" s="202"/>
    </row>
    <row r="33" spans="1:22" s="203" customFormat="1" ht="22.05" customHeight="1" x14ac:dyDescent="0.25">
      <c r="A33" s="181"/>
      <c r="B33" s="208" t="s">
        <v>59</v>
      </c>
      <c r="C33" s="218">
        <f t="shared" ca="1" si="0"/>
        <v>35</v>
      </c>
      <c r="D33" s="1152" t="str">
        <f>HYPERLINK("#'" &amp; $B33 &amp; "'!B2",IF(VLOOKUP($B33,Languages!$A:$D,1,TRUE)=$B33,VLOOKUP($B33,Languages!$A:$D,Summary!$C$7,TRUE),NA()))</f>
        <v>Identiteetin- ja pääsynhallinta (ACCESS)</v>
      </c>
      <c r="E33" s="1152"/>
      <c r="F33" s="1150" t="str">
        <f ca="1">COUNTIF(Data!$A:$A,$B33) - COUNTIF(INDIRECT("'"&amp;$B33&amp;"'!"&amp;"$F:$F"),0) &amp; " / " &amp; COUNTIF(Data!$A:$A,$B33)</f>
        <v>0 / 35</v>
      </c>
      <c r="G33" s="1150"/>
      <c r="H33" s="1152" t="str">
        <f>HYPERLINK("#'" &amp; $L33 &amp; "'!B2",IF(VLOOKUP($L33,Languages!$A:$D,1,TRUE)=$L33,VLOOKUP($L33,Languages!$A:$D,Summary!$C$7,TRUE),NA()))</f>
        <v>Kyberturvallisuusarkkitehtuuri (ARCHITECTURE)</v>
      </c>
      <c r="I33" s="1152"/>
      <c r="J33" s="1150" t="str">
        <f ca="1">COUNTIF(Data!$A:$A,$L33) - COUNTIF(INDIRECT("'"&amp;$L33&amp;"'!"&amp;"$F:$F"),0) &amp; " / " &amp; COUNTIF(Data!$A:$A,$L33)</f>
        <v>0 / 58</v>
      </c>
      <c r="K33" s="1150"/>
      <c r="L33" s="220" t="s">
        <v>77</v>
      </c>
      <c r="M33" s="181"/>
      <c r="N33" s="201"/>
      <c r="O33" s="201"/>
      <c r="P33" s="201"/>
      <c r="Q33" s="202"/>
      <c r="R33" s="202"/>
      <c r="S33" s="202"/>
      <c r="T33" s="202"/>
      <c r="U33" s="202"/>
      <c r="V33" s="202"/>
    </row>
    <row r="34" spans="1:22" s="203" customFormat="1" ht="22.05" customHeight="1" x14ac:dyDescent="0.25">
      <c r="A34" s="181"/>
      <c r="B34" s="208" t="s">
        <v>67</v>
      </c>
      <c r="C34" s="218">
        <f t="shared" ca="1" si="0"/>
        <v>28</v>
      </c>
      <c r="D34" s="1152" t="str">
        <f>HYPERLINK("#'" &amp; $B34 &amp; "'!B2",IF(VLOOKUP($B34,Languages!$A:$D,1,TRUE)=$B34,VLOOKUP($B34,Languages!$A:$D,Summary!$C$7,TRUE),NA()))</f>
        <v>Tilannekuva (SITUATION)</v>
      </c>
      <c r="E34" s="1152"/>
      <c r="F34" s="1150" t="str">
        <f ca="1">COUNTIF(Data!$A:$A,$B34) - COUNTIF(INDIRECT("'"&amp;$B34&amp;"'!"&amp;"$F:$F"),0) &amp; " / " &amp; COUNTIF(Data!$A:$A,$B34)</f>
        <v>0 / 28</v>
      </c>
      <c r="G34" s="1150"/>
      <c r="H34" s="1152" t="str">
        <f>HYPERLINK("#'" &amp; $L34 &amp; "'!B2",IF(VLOOKUP($L34,Languages!$A:$D,1,TRUE)=$L34,VLOOKUP($L34,Languages!$A:$D,Summary!$C$7,TRUE),NA()))</f>
        <v>Kyberturvallisuuden hallinta (PROGRAM)</v>
      </c>
      <c r="I34" s="1152"/>
      <c r="J34" s="1150" t="str">
        <f ca="1">COUNTIF(Data!$A:$A,$L34) - COUNTIF(INDIRECT("'"&amp;$L34&amp;"'!"&amp;"$F:$F"),0) &amp; " / " &amp; COUNTIF(Data!$A:$A,$L34)</f>
        <v>0 / 24</v>
      </c>
      <c r="K34" s="1150"/>
      <c r="L34" s="220" t="s">
        <v>79</v>
      </c>
      <c r="M34" s="181"/>
      <c r="N34" s="201"/>
      <c r="O34" s="201"/>
      <c r="P34" s="201"/>
      <c r="Q34" s="202"/>
      <c r="R34" s="202"/>
      <c r="S34" s="202"/>
      <c r="T34" s="202"/>
      <c r="U34" s="202"/>
      <c r="V34" s="202"/>
    </row>
    <row r="35" spans="1:22" s="177" customFormat="1" ht="19.95" customHeight="1" x14ac:dyDescent="0.25">
      <c r="A35" s="174"/>
      <c r="B35" s="208">
        <v>22</v>
      </c>
      <c r="C35" s="209"/>
      <c r="D35" s="172" t="str">
        <f>IF(VLOOKUP(CONCATENATE($C$3,"-",B35),Languages!$A:$D,1,TRUE)=CONCATENATE($C$3,"-",B35),VLOOKUP(CONCATENATE($C$3,"-",B35),Languages!$A:$D,Summary!$C$7,TRUE),NA())</f>
        <v>Kyberturvallisuuden investointien taso</v>
      </c>
      <c r="E35" s="221"/>
      <c r="G35" s="222"/>
      <c r="H35" s="210"/>
      <c r="I35" s="223"/>
      <c r="J35" s="224"/>
      <c r="K35" s="224"/>
      <c r="L35" s="225"/>
      <c r="M35" s="174"/>
      <c r="N35" s="201"/>
      <c r="O35" s="201"/>
      <c r="P35" s="175"/>
      <c r="Q35" s="176"/>
      <c r="R35" s="176"/>
      <c r="S35" s="176"/>
      <c r="T35" s="176"/>
      <c r="U35" s="176"/>
      <c r="V35" s="176"/>
    </row>
    <row r="36" spans="1:22" s="177" customFormat="1" ht="10.050000000000001" customHeight="1" x14ac:dyDescent="0.25">
      <c r="A36" s="174"/>
      <c r="B36" s="208"/>
      <c r="C36" s="209"/>
      <c r="D36" s="210"/>
      <c r="E36" s="226"/>
      <c r="F36" s="227"/>
      <c r="G36" s="222"/>
      <c r="H36" s="210"/>
      <c r="I36" s="223"/>
      <c r="J36" s="224"/>
      <c r="K36" s="224"/>
      <c r="L36" s="228"/>
      <c r="M36" s="174"/>
      <c r="N36" s="201"/>
      <c r="O36" s="201"/>
      <c r="P36" s="175"/>
      <c r="Q36" s="176"/>
      <c r="R36" s="176"/>
      <c r="S36" s="176"/>
      <c r="T36" s="176"/>
      <c r="U36" s="176"/>
      <c r="V36" s="176"/>
    </row>
    <row r="37" spans="1:22" s="184" customFormat="1" ht="19.95" customHeight="1" x14ac:dyDescent="0.25">
      <c r="A37" s="229"/>
      <c r="B37" s="208">
        <v>23</v>
      </c>
      <c r="D37" s="1179" t="str">
        <f>HYPERLINK("#'" &amp; "Investment" &amp; "'!B2",IF(VLOOKUP(CONCATENATE($C$3,"-",B37),Languages!$A:$D,1,TRUE)=CONCATENATE($C$3,"-",B37),VLOOKUP(CONCATENATE($C$3,"-",B37),Languages!$A:$D,Summary!$C$7,TRUE),NA()))</f>
        <v>Kyberturvallisuuden investointien taso (Investment)</v>
      </c>
      <c r="E37" s="1179"/>
      <c r="F37" s="1179"/>
      <c r="G37" s="230"/>
      <c r="H37" s="231"/>
      <c r="I37" s="232"/>
      <c r="J37" s="437"/>
      <c r="K37" s="437"/>
      <c r="L37" s="233"/>
      <c r="M37" s="229"/>
      <c r="N37" s="201"/>
      <c r="O37" s="201"/>
      <c r="P37" s="182"/>
      <c r="Q37" s="183"/>
      <c r="R37" s="183"/>
      <c r="S37" s="183"/>
      <c r="T37" s="183"/>
      <c r="U37" s="183"/>
      <c r="V37" s="183"/>
    </row>
    <row r="38" spans="1:22" s="184" customFormat="1" ht="10.050000000000001" customHeight="1" x14ac:dyDescent="0.25">
      <c r="A38" s="229"/>
      <c r="B38" s="208"/>
      <c r="D38" s="435"/>
      <c r="E38" s="435"/>
      <c r="F38" s="435"/>
      <c r="G38" s="230"/>
      <c r="H38" s="231"/>
      <c r="I38" s="232"/>
      <c r="J38" s="437"/>
      <c r="K38" s="437"/>
      <c r="L38" s="233"/>
      <c r="M38" s="229"/>
      <c r="N38" s="201"/>
      <c r="O38" s="201"/>
      <c r="P38" s="182"/>
      <c r="Q38" s="183"/>
      <c r="R38" s="183"/>
      <c r="S38" s="183"/>
      <c r="T38" s="183"/>
      <c r="U38" s="183"/>
      <c r="V38" s="183"/>
    </row>
    <row r="39" spans="1:22" s="177" customFormat="1" ht="25.05" customHeight="1" x14ac:dyDescent="0.25">
      <c r="A39" s="166"/>
      <c r="B39" s="208"/>
      <c r="C39" s="168">
        <v>30</v>
      </c>
      <c r="D39" s="169" t="str">
        <f>IF(VLOOKUP(CONCATENATE($C$3,"-",C39),Languages!$A:$D,1,TRUE)=CONCATENATE($C$3,"-",C39),VLOOKUP(CONCATENATE($C$3,"-",C39),Languages!$A:$D,Summary!$C$7,TRUE),NA())</f>
        <v>Tulokset ja vertailutiedot</v>
      </c>
      <c r="E39" s="170"/>
      <c r="F39" s="170"/>
      <c r="G39" s="171"/>
      <c r="H39" s="170"/>
      <c r="I39" s="170" t="str">
        <f>IFERROR(INT(LEFT(#REF!,1)),"")</f>
        <v/>
      </c>
      <c r="J39" s="170"/>
      <c r="K39" s="172"/>
      <c r="L39" s="173"/>
      <c r="M39" s="174"/>
      <c r="N39" s="201"/>
      <c r="O39" s="201"/>
      <c r="P39" s="201"/>
      <c r="Q39" s="176"/>
      <c r="R39" s="176"/>
      <c r="S39" s="176"/>
      <c r="T39" s="176"/>
      <c r="U39" s="176"/>
      <c r="V39" s="176"/>
    </row>
    <row r="40" spans="1:22" s="184" customFormat="1" ht="10.050000000000001" customHeight="1" x14ac:dyDescent="0.25">
      <c r="A40" s="178"/>
      <c r="B40" s="208"/>
      <c r="C40" s="1147"/>
      <c r="D40" s="1147"/>
      <c r="E40" s="1147"/>
      <c r="F40" s="1147"/>
      <c r="G40" s="1147"/>
      <c r="H40" s="1147"/>
      <c r="I40" s="1147"/>
      <c r="J40" s="1147"/>
      <c r="K40" s="434"/>
      <c r="L40" s="180"/>
      <c r="M40" s="181"/>
      <c r="N40" s="201"/>
      <c r="O40" s="201"/>
      <c r="P40" s="182"/>
      <c r="Q40" s="183"/>
      <c r="R40" s="183"/>
      <c r="S40" s="183"/>
      <c r="T40" s="183"/>
      <c r="U40" s="183"/>
      <c r="V40" s="183"/>
    </row>
    <row r="41" spans="1:22" s="203" customFormat="1" ht="23.4" customHeight="1" x14ac:dyDescent="0.25">
      <c r="A41" s="181"/>
      <c r="B41" s="208">
        <v>31</v>
      </c>
      <c r="C41" s="234"/>
      <c r="D41" s="1151" t="str">
        <f>HYPERLINK("#'" &amp; "Import" &amp; "'!B2",IF(VLOOKUP(CONCATENATE($C$3,"-",B41),Languages!$A:$D,1,TRUE)=CONCATENATE($C$3,"-",B41),VLOOKUP(CONCATENATE($C$3,"-",B41),Languages!$A:$D,Summary!$C$7,TRUE),NA()))</f>
        <v>Tulosten tuonti (Import)</v>
      </c>
      <c r="E41" s="1151"/>
      <c r="F41" s="1151"/>
      <c r="G41" s="433">
        <v>32</v>
      </c>
      <c r="H41" s="1151" t="str">
        <f>HYPERLINK("#'" &amp; "Export" &amp; "'!B2",IF(VLOOKUP(CONCATENATE($C$3,"-",G41),Languages!$A:$D,1,TRUE)=CONCATENATE($C$3,"-",G41),VLOOKUP(CONCATENATE($C$3,"-",G41),Languages!$A:$D,Summary!$C$7,TRUE),NA()))</f>
        <v>Tulosten vienti (Export)</v>
      </c>
      <c r="I41" s="1151"/>
      <c r="J41" s="1151"/>
      <c r="K41" s="188"/>
      <c r="L41" s="200"/>
      <c r="M41" s="181"/>
      <c r="N41" s="201"/>
      <c r="O41" s="201"/>
      <c r="P41" s="201"/>
      <c r="Q41" s="202"/>
      <c r="R41" s="202"/>
      <c r="S41" s="202"/>
      <c r="T41" s="202"/>
      <c r="U41" s="202"/>
      <c r="V41" s="202"/>
    </row>
    <row r="42" spans="1:22" s="203" customFormat="1" ht="23.4" customHeight="1" x14ac:dyDescent="0.25">
      <c r="A42" s="181"/>
      <c r="B42" s="208">
        <v>46</v>
      </c>
      <c r="C42" s="217"/>
      <c r="D42" s="1151" t="str">
        <f>HYPERLINK("#'" &amp; "Export_KTK" &amp; "'!B2",IF(VLOOKUP(CONCATENATE($C$3,"-",B42),Languages!$A:$D,1,TRUE)=CONCATENATE($C$3,"-",B42),VLOOKUP(CONCATENATE($C$3,"-",B42),Languages!$A:$D,Summary!$C$7,TRUE),NA()))</f>
        <v>Tulosten lähetys Kyberturvallisuuskeskukselle (Export_KTK)</v>
      </c>
      <c r="E42" s="1151"/>
      <c r="F42" s="1151"/>
      <c r="G42" s="216"/>
      <c r="J42" s="188"/>
      <c r="K42" s="188"/>
      <c r="L42" s="200"/>
      <c r="M42" s="181"/>
      <c r="N42" s="201"/>
      <c r="O42" s="201"/>
      <c r="P42" s="201"/>
      <c r="Q42" s="202"/>
      <c r="R42" s="202"/>
      <c r="S42" s="202"/>
      <c r="T42" s="202"/>
      <c r="U42" s="202"/>
      <c r="V42" s="202"/>
    </row>
    <row r="43" spans="1:22" s="203" customFormat="1" ht="23.4" customHeight="1" x14ac:dyDescent="0.25">
      <c r="A43" s="181"/>
      <c r="B43" s="208">
        <v>37</v>
      </c>
      <c r="C43" s="217"/>
      <c r="D43" s="1148" t="str">
        <f>HYPERLINK("#'" &amp; "R1" &amp; "'!B2",IF(VLOOKUP(CONCATENATE($C$3,"-",B43),Languages!$A:$D,1,TRUE)=CONCATENATE($C$3,"-",B43),VLOOKUP(CONCATENATE($C$3,"-",B43),Languages!$A:$D,Summary!$C$7,TRUE),NA()))</f>
        <v>Johdon kypsyysraportti (R1)</v>
      </c>
      <c r="E43" s="1148"/>
      <c r="F43" s="1148"/>
      <c r="G43" s="235">
        <v>38</v>
      </c>
      <c r="H43" s="1149" t="str">
        <f>HYPERLINK("#'" &amp; "R3" &amp; "'!B2",IF(VLOOKUP(CONCATENATE($C$3,"-",G43),Languages!$A:$D,1,TRUE)=CONCATENATE($C$3,"-",G43),VLOOKUP(CONCATENATE($C$3,"-",G43),Languages!$A:$D,Summary!$C$7,TRUE),NA()))</f>
        <v>Yksityiskohtainen NIST Framework Core -raportti (R3)</v>
      </c>
      <c r="I43" s="1149"/>
      <c r="J43" s="1149"/>
      <c r="K43" s="188"/>
      <c r="L43" s="200"/>
      <c r="M43" s="181"/>
      <c r="N43" s="201"/>
      <c r="O43" s="201"/>
      <c r="P43" s="201"/>
      <c r="Q43" s="202"/>
      <c r="R43" s="202"/>
      <c r="S43" s="202"/>
      <c r="T43" s="202"/>
      <c r="U43" s="202"/>
      <c r="V43" s="202"/>
    </row>
    <row r="44" spans="1:22" s="203" customFormat="1" ht="23.4" customHeight="1" x14ac:dyDescent="0.25">
      <c r="A44" s="181"/>
      <c r="B44" s="208">
        <v>33</v>
      </c>
      <c r="C44" s="234"/>
      <c r="D44" s="1148" t="str">
        <f>HYPERLINK("#'" &amp; "R2" &amp; "'!B2",IF(VLOOKUP(CONCATENATE($C$3,"-",B44),Languages!$A:$D,1,TRUE)=CONCATENATE($C$3,"-",B44),VLOOKUP(CONCATENATE($C$3,"-",B44),Languages!$A:$D,Summary!$C$7,TRUE),NA()))</f>
        <v>Kybermittarin kypsyysraportti (R2)</v>
      </c>
      <c r="E44" s="1148"/>
      <c r="F44" s="1148"/>
      <c r="G44" s="235">
        <v>34</v>
      </c>
      <c r="H44" s="1149" t="str">
        <f>HYPERLINK("#'" &amp; "R4" &amp; "'!B2",IF(VLOOKUP(CONCATENATE($C$3,"-",G44),Languages!$A:$D,1,TRUE)=CONCATENATE($C$3,"-",G44),VLOOKUP(CONCATENATE($C$3,"-",G44),Languages!$A:$D,Summary!$C$7,TRUE),NA()))</f>
        <v>Kyberturvallisuuden kehityskohteiden raportti (R4)</v>
      </c>
      <c r="I44" s="1149"/>
      <c r="J44" s="1149"/>
      <c r="K44" s="188"/>
      <c r="L44" s="200"/>
      <c r="M44" s="181"/>
      <c r="N44" s="201"/>
      <c r="O44" s="201"/>
      <c r="P44" s="201"/>
      <c r="Q44" s="202"/>
      <c r="R44" s="202"/>
      <c r="S44" s="202"/>
      <c r="T44" s="202"/>
      <c r="U44" s="202"/>
      <c r="V44" s="202"/>
    </row>
    <row r="45" spans="1:22" s="203" customFormat="1" ht="23.4" customHeight="1" x14ac:dyDescent="0.25">
      <c r="A45" s="181"/>
      <c r="B45" s="204">
        <v>36</v>
      </c>
      <c r="C45" s="234"/>
      <c r="D45" s="1146" t="str">
        <f>HYPERLINK("#'" &amp; "R5" &amp; "'!B2",IF(VLOOKUP(CONCATENATE($C$3,"-",B45),Languages!$A:$D,1,TRUE)=CONCATENATE($C$3,"-",B45),VLOOKUP(CONCATENATE($C$3,"-",B45),Languages!$A:$D,Summary!$C$7,TRUE),NA()))</f>
        <v>Yleiset hallintatoimet -raportti (R5)</v>
      </c>
      <c r="E45" s="1146"/>
      <c r="F45" s="1146"/>
      <c r="G45" s="1000">
        <v>48</v>
      </c>
      <c r="H45" s="1149" t="str">
        <f>HYPERLINK("#'" &amp; "R6" &amp; "'!B2",IF(VLOOKUP(CONCATENATE($C$3,"-",G45),Languages!$A:$D,1,TRUE)=CONCATENATE($C$3,"-",G45),VLOOKUP(CONCATENATE($C$3,"-",G45),Languages!$A:$D,Summary!$C$7,TRUE),NA()))</f>
        <v>Osion käytäntöjen toteutuminen kypsyystasoittain (R6)</v>
      </c>
      <c r="I45" s="1149"/>
      <c r="J45" s="1149"/>
      <c r="K45" s="188"/>
      <c r="L45" s="200"/>
      <c r="M45" s="181"/>
      <c r="N45" s="201"/>
      <c r="O45" s="201"/>
      <c r="P45" s="201"/>
      <c r="Q45" s="202"/>
      <c r="R45" s="202"/>
      <c r="S45" s="202"/>
      <c r="T45" s="202"/>
      <c r="U45" s="202"/>
      <c r="V45" s="202"/>
    </row>
    <row r="46" spans="1:22" s="203" customFormat="1" ht="23.4" customHeight="1" x14ac:dyDescent="0.25">
      <c r="A46" s="181"/>
      <c r="B46" s="204">
        <v>47</v>
      </c>
      <c r="C46" s="234"/>
      <c r="D46" s="1146" t="str">
        <f>HYPERLINK("#'" &amp; "R7" &amp; "'!B2",IF(VLOOKUP(CONCATENATE($C$3,"-",B46),Languages!$A:$D,1,TRUE)=CONCATENATE($C$3,"-",B46),VLOOKUP(CONCATENATE($C$3,"-",B46),Languages!$A:$D,Summary!$C$7,TRUE),NA()))</f>
        <v>Osiokohtainen kypsyystaso -raportti (R7)</v>
      </c>
      <c r="E46" s="1146"/>
      <c r="F46" s="1146"/>
      <c r="G46" s="998"/>
      <c r="H46" s="997"/>
      <c r="I46" s="997"/>
      <c r="J46" s="188"/>
      <c r="K46" s="188"/>
      <c r="L46" s="200"/>
      <c r="M46" s="181"/>
      <c r="N46" s="201"/>
      <c r="O46" s="201"/>
      <c r="P46" s="201"/>
      <c r="Q46" s="202"/>
      <c r="R46" s="202"/>
      <c r="S46" s="202"/>
      <c r="T46" s="202"/>
      <c r="U46" s="202"/>
      <c r="V46" s="202"/>
    </row>
    <row r="47" spans="1:22" s="140" customFormat="1" x14ac:dyDescent="0.25">
      <c r="A47" s="236"/>
      <c r="B47" s="237"/>
      <c r="C47" s="238"/>
      <c r="D47" s="239"/>
      <c r="E47" s="239"/>
      <c r="F47" s="239"/>
      <c r="G47" s="240"/>
      <c r="H47" s="241"/>
      <c r="I47" s="242"/>
      <c r="J47" s="242"/>
      <c r="K47" s="242"/>
      <c r="L47" s="243"/>
      <c r="M47" s="236"/>
      <c r="N47" s="201"/>
      <c r="O47" s="201"/>
      <c r="P47" s="138"/>
      <c r="Q47" s="139"/>
      <c r="R47" s="139"/>
      <c r="S47" s="139"/>
      <c r="T47" s="139"/>
      <c r="U47" s="139"/>
      <c r="V47" s="139"/>
    </row>
    <row r="48" spans="1:22" s="140" customFormat="1" x14ac:dyDescent="0.25">
      <c r="A48" s="236"/>
      <c r="B48" s="236"/>
      <c r="C48" s="244"/>
      <c r="D48" s="236"/>
      <c r="E48" s="236"/>
      <c r="F48" s="236"/>
      <c r="G48" s="245"/>
      <c r="H48" s="245"/>
      <c r="I48" s="236"/>
      <c r="J48" s="236"/>
      <c r="K48" s="236"/>
      <c r="L48" s="236"/>
      <c r="M48" s="236"/>
      <c r="N48" s="201"/>
      <c r="O48" s="201"/>
      <c r="P48" s="138"/>
      <c r="Q48" s="139"/>
      <c r="R48" s="139"/>
      <c r="S48" s="139"/>
      <c r="T48" s="139"/>
      <c r="U48" s="139"/>
      <c r="V48" s="139"/>
    </row>
  </sheetData>
  <sheetProtection sheet="1" formatCells="0" formatColumns="0" formatRows="0"/>
  <mergeCells count="55">
    <mergeCell ref="E12:F12"/>
    <mergeCell ref="E13:F13"/>
    <mergeCell ref="I13:J13"/>
    <mergeCell ref="J33:K33"/>
    <mergeCell ref="E15:F15"/>
    <mergeCell ref="I15:J15"/>
    <mergeCell ref="D29:E29"/>
    <mergeCell ref="H29:I29"/>
    <mergeCell ref="P2:V15"/>
    <mergeCell ref="D44:F44"/>
    <mergeCell ref="H44:J44"/>
    <mergeCell ref="D41:F41"/>
    <mergeCell ref="D31:E31"/>
    <mergeCell ref="H31:I31"/>
    <mergeCell ref="H32:I32"/>
    <mergeCell ref="D34:E34"/>
    <mergeCell ref="C40:J40"/>
    <mergeCell ref="H33:I33"/>
    <mergeCell ref="H34:I34"/>
    <mergeCell ref="D37:F37"/>
    <mergeCell ref="D42:F42"/>
    <mergeCell ref="E7:F7"/>
    <mergeCell ref="C10:J10"/>
    <mergeCell ref="D30:E30"/>
    <mergeCell ref="C6:J6"/>
    <mergeCell ref="D33:E33"/>
    <mergeCell ref="F34:G34"/>
    <mergeCell ref="E14:F14"/>
    <mergeCell ref="D45:F45"/>
    <mergeCell ref="H45:J45"/>
    <mergeCell ref="I12:J12"/>
    <mergeCell ref="I23:J23"/>
    <mergeCell ref="H30:I30"/>
    <mergeCell ref="D18:J20"/>
    <mergeCell ref="E11:F11"/>
    <mergeCell ref="I11:J11"/>
    <mergeCell ref="I14:J14"/>
    <mergeCell ref="I22:J22"/>
    <mergeCell ref="D22:F22"/>
    <mergeCell ref="D23:G24"/>
    <mergeCell ref="D46:F46"/>
    <mergeCell ref="C27:J27"/>
    <mergeCell ref="D43:F43"/>
    <mergeCell ref="H43:J43"/>
    <mergeCell ref="F31:G31"/>
    <mergeCell ref="F32:G32"/>
    <mergeCell ref="J31:K31"/>
    <mergeCell ref="J32:K32"/>
    <mergeCell ref="H41:J41"/>
    <mergeCell ref="J34:K34"/>
    <mergeCell ref="D32:E32"/>
    <mergeCell ref="F33:G33"/>
    <mergeCell ref="F29:G29"/>
    <mergeCell ref="F30:G30"/>
    <mergeCell ref="J30:K30"/>
  </mergeCells>
  <pageMargins left="0.7" right="0.7" top="0.75" bottom="0.75" header="0.3" footer="0.3"/>
  <pageSetup paperSize="9" scale="43" orientation="portrait" r:id="rId1"/>
  <colBreaks count="1" manualBreakCount="1">
    <brk id="13" max="46" man="1"/>
  </colBreaks>
  <ignoredErrors>
    <ignoredError sqref="E33 E32 E31 E34 E30 D33 D30 D36:E36 D34 D31 D32 E35"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Parameters!$B$23:$B$25</xm:f>
          </x14:formula1>
          <xm:sqref>I23:J23</xm:sqref>
        </x14:dataValidation>
        <x14:dataValidation type="list" allowBlank="1" showInputMessage="1" showErrorMessage="1" xr:uid="{00000000-0002-0000-0200-000001000000}">
          <x14:formula1>
            <xm:f>Parameters!$D$2:$F$2</xm:f>
          </x14:formula1>
          <xm:sqref>H7</xm:sqref>
        </x14:dataValidation>
        <x14:dataValidation type="list" allowBlank="1" showInputMessage="1" showErrorMessage="1" xr:uid="{00000000-0002-0000-0200-000002000000}">
          <x14:formula1>
            <xm:f>Parameters!$B$26:$B$40</xm:f>
          </x14:formula1>
          <xm:sqref>E12:F12</xm:sqref>
        </x14:dataValidation>
        <x14:dataValidation type="list" allowBlank="1" showInputMessage="1" showErrorMessage="1" xr:uid="{00000000-0002-0000-0200-000003000000}">
          <x14:formula1>
            <xm:f>Parameters!$B$41:$B$77</xm:f>
          </x14:formula1>
          <xm:sqref>E13:F13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1">
    <tabColor theme="5"/>
  </sheetPr>
  <dimension ref="A1:F2651"/>
  <sheetViews>
    <sheetView zoomScale="80" zoomScaleNormal="80" workbookViewId="0">
      <pane ySplit="1" topLeftCell="A2" activePane="bottomLeft" state="frozen"/>
      <selection pane="bottomLeft"/>
    </sheetView>
  </sheetViews>
  <sheetFormatPr defaultColWidth="9.1796875" defaultRowHeight="11.4" x14ac:dyDescent="0.2"/>
  <cols>
    <col min="1" max="1" width="14.453125" style="872" customWidth="1"/>
    <col min="2" max="2" width="65.6328125" style="872" customWidth="1"/>
    <col min="3" max="3" width="50.6328125" style="872" customWidth="1"/>
    <col min="4" max="4" width="52.08984375" style="874" customWidth="1"/>
    <col min="5" max="5" width="125.08984375" style="865" customWidth="1"/>
    <col min="6" max="6" width="6.08984375" style="872" customWidth="1"/>
    <col min="7" max="16384" width="9.1796875" style="872"/>
  </cols>
  <sheetData>
    <row r="1" spans="1:6" x14ac:dyDescent="0.25">
      <c r="A1" s="1061" t="s">
        <v>389</v>
      </c>
      <c r="B1" s="1060" t="s">
        <v>591</v>
      </c>
      <c r="C1" s="1060" t="s">
        <v>590</v>
      </c>
      <c r="D1" s="1060" t="s">
        <v>592</v>
      </c>
      <c r="E1" s="1060" t="s">
        <v>2805</v>
      </c>
      <c r="F1" s="1060" t="s">
        <v>3319</v>
      </c>
    </row>
    <row r="2" spans="1:6" s="871" customFormat="1" x14ac:dyDescent="0.25">
      <c r="A2" s="861" t="s">
        <v>59</v>
      </c>
      <c r="B2" s="862" t="s">
        <v>1104</v>
      </c>
      <c r="C2" s="862" t="s">
        <v>1459</v>
      </c>
      <c r="D2" s="863" t="s">
        <v>2056</v>
      </c>
      <c r="E2" s="862"/>
      <c r="F2" s="862">
        <v>1</v>
      </c>
    </row>
    <row r="3" spans="1:6" ht="148.19999999999999" x14ac:dyDescent="0.25">
      <c r="A3" s="864" t="s">
        <v>435</v>
      </c>
      <c r="B3" s="865" t="s">
        <v>1251</v>
      </c>
      <c r="C3" s="865" t="s">
        <v>1975</v>
      </c>
      <c r="D3" s="866" t="s">
        <v>2057</v>
      </c>
      <c r="F3" s="865">
        <v>2</v>
      </c>
    </row>
    <row r="4" spans="1:6" s="871" customFormat="1" x14ac:dyDescent="0.25">
      <c r="A4" s="861" t="s">
        <v>61</v>
      </c>
      <c r="B4" s="862" t="s">
        <v>436</v>
      </c>
      <c r="C4" s="862" t="s">
        <v>1285</v>
      </c>
      <c r="D4" s="863" t="s">
        <v>2058</v>
      </c>
      <c r="E4" s="862"/>
      <c r="F4" s="862">
        <v>3</v>
      </c>
    </row>
    <row r="5" spans="1:6" ht="55.8" customHeight="1" x14ac:dyDescent="0.25">
      <c r="A5" s="864" t="s">
        <v>437</v>
      </c>
      <c r="B5" s="865" t="s">
        <v>438</v>
      </c>
      <c r="C5" s="865" t="s">
        <v>1274</v>
      </c>
      <c r="D5" s="866" t="s">
        <v>2059</v>
      </c>
      <c r="F5" s="865">
        <v>4</v>
      </c>
    </row>
    <row r="6" spans="1:6" ht="160.19999999999999" customHeight="1" x14ac:dyDescent="0.25">
      <c r="A6" s="864" t="s">
        <v>150</v>
      </c>
      <c r="B6" s="865" t="s">
        <v>1105</v>
      </c>
      <c r="C6" s="865" t="s">
        <v>1880</v>
      </c>
      <c r="D6" s="866" t="s">
        <v>2060</v>
      </c>
      <c r="E6" s="865" t="s">
        <v>2806</v>
      </c>
      <c r="F6" s="862">
        <v>5</v>
      </c>
    </row>
    <row r="7" spans="1:6" ht="79.8" x14ac:dyDescent="0.25">
      <c r="A7" s="864" t="s">
        <v>152</v>
      </c>
      <c r="B7" s="865" t="s">
        <v>1106</v>
      </c>
      <c r="C7" s="865" t="s">
        <v>1881</v>
      </c>
      <c r="D7" s="866" t="s">
        <v>2061</v>
      </c>
      <c r="E7" s="865" t="s">
        <v>2807</v>
      </c>
      <c r="F7" s="865">
        <v>6</v>
      </c>
    </row>
    <row r="8" spans="1:6" ht="79.8" x14ac:dyDescent="0.25">
      <c r="A8" s="864" t="s">
        <v>153</v>
      </c>
      <c r="B8" s="865" t="s">
        <v>439</v>
      </c>
      <c r="C8" s="865" t="s">
        <v>1882</v>
      </c>
      <c r="D8" s="866" t="s">
        <v>2062</v>
      </c>
      <c r="E8" s="865" t="s">
        <v>2808</v>
      </c>
      <c r="F8" s="862">
        <v>7</v>
      </c>
    </row>
    <row r="9" spans="1:6" ht="68.400000000000006" x14ac:dyDescent="0.25">
      <c r="A9" s="864" t="s">
        <v>154</v>
      </c>
      <c r="B9" s="865" t="s">
        <v>2656</v>
      </c>
      <c r="C9" s="865" t="s">
        <v>3164</v>
      </c>
      <c r="D9" s="866" t="s">
        <v>3358</v>
      </c>
      <c r="E9" s="865" t="s">
        <v>2809</v>
      </c>
      <c r="F9" s="865">
        <v>8</v>
      </c>
    </row>
    <row r="10" spans="1:6" ht="91.2" x14ac:dyDescent="0.25">
      <c r="A10" s="864" t="s">
        <v>155</v>
      </c>
      <c r="B10" s="865" t="s">
        <v>2657</v>
      </c>
      <c r="C10" s="865" t="s">
        <v>3165</v>
      </c>
      <c r="D10" s="866" t="s">
        <v>3359</v>
      </c>
      <c r="E10" s="865" t="s">
        <v>2810</v>
      </c>
      <c r="F10" s="862">
        <v>9</v>
      </c>
    </row>
    <row r="11" spans="1:6" ht="102.6" x14ac:dyDescent="0.25">
      <c r="A11" s="864" t="s">
        <v>156</v>
      </c>
      <c r="B11" s="865" t="s">
        <v>440</v>
      </c>
      <c r="C11" s="865" t="s">
        <v>1328</v>
      </c>
      <c r="D11" s="866" t="s">
        <v>2063</v>
      </c>
      <c r="E11" s="865" t="s">
        <v>2811</v>
      </c>
      <c r="F11" s="865">
        <v>10</v>
      </c>
    </row>
    <row r="12" spans="1:6" ht="79.8" x14ac:dyDescent="0.25">
      <c r="A12" s="864" t="s">
        <v>157</v>
      </c>
      <c r="B12" s="865" t="s">
        <v>2658</v>
      </c>
      <c r="C12" s="865" t="s">
        <v>3166</v>
      </c>
      <c r="D12" s="866" t="s">
        <v>3360</v>
      </c>
      <c r="E12" s="865" t="s">
        <v>2812</v>
      </c>
      <c r="F12" s="862">
        <v>11</v>
      </c>
    </row>
    <row r="13" spans="1:6" ht="376.2" x14ac:dyDescent="0.25">
      <c r="A13" s="864" t="s">
        <v>2606</v>
      </c>
      <c r="B13" s="865" t="s">
        <v>2659</v>
      </c>
      <c r="C13" s="865" t="s">
        <v>3167</v>
      </c>
      <c r="D13" s="866" t="s">
        <v>2064</v>
      </c>
      <c r="E13" s="865" t="s">
        <v>2813</v>
      </c>
      <c r="F13" s="865">
        <v>12</v>
      </c>
    </row>
    <row r="14" spans="1:6" ht="79.8" x14ac:dyDescent="0.25">
      <c r="A14" s="864" t="s">
        <v>2607</v>
      </c>
      <c r="B14" s="865" t="s">
        <v>2660</v>
      </c>
      <c r="C14" s="865" t="s">
        <v>3168</v>
      </c>
      <c r="D14" s="866" t="s">
        <v>3361</v>
      </c>
      <c r="E14" s="865" t="s">
        <v>2814</v>
      </c>
      <c r="F14" s="862">
        <v>13</v>
      </c>
    </row>
    <row r="15" spans="1:6" ht="114" x14ac:dyDescent="0.25">
      <c r="A15" s="864" t="s">
        <v>2608</v>
      </c>
      <c r="B15" s="865" t="s">
        <v>2661</v>
      </c>
      <c r="C15" s="865" t="s">
        <v>3169</v>
      </c>
      <c r="D15" s="866" t="s">
        <v>3362</v>
      </c>
      <c r="E15" s="865" t="s">
        <v>2815</v>
      </c>
      <c r="F15" s="865">
        <v>14</v>
      </c>
    </row>
    <row r="16" spans="1:6" s="871" customFormat="1" x14ac:dyDescent="0.25">
      <c r="A16" s="861" t="s">
        <v>63</v>
      </c>
      <c r="B16" s="862" t="s">
        <v>1227</v>
      </c>
      <c r="C16" s="862" t="s">
        <v>3297</v>
      </c>
      <c r="D16" s="863" t="s">
        <v>2065</v>
      </c>
      <c r="E16" s="862"/>
      <c r="F16" s="862">
        <v>15</v>
      </c>
    </row>
    <row r="17" spans="1:6" ht="159.6" x14ac:dyDescent="0.25">
      <c r="A17" s="864" t="s">
        <v>441</v>
      </c>
      <c r="B17" s="865" t="s">
        <v>1254</v>
      </c>
      <c r="C17" s="865" t="s">
        <v>3298</v>
      </c>
      <c r="D17" s="866" t="s">
        <v>2066</v>
      </c>
      <c r="F17" s="865">
        <v>16</v>
      </c>
    </row>
    <row r="18" spans="1:6" ht="79.8" x14ac:dyDescent="0.25">
      <c r="A18" s="864" t="s">
        <v>158</v>
      </c>
      <c r="B18" s="865" t="s">
        <v>1107</v>
      </c>
      <c r="C18" s="865" t="s">
        <v>1883</v>
      </c>
      <c r="D18" s="866" t="s">
        <v>2067</v>
      </c>
      <c r="E18" s="865" t="s">
        <v>2816</v>
      </c>
      <c r="F18" s="862">
        <v>17</v>
      </c>
    </row>
    <row r="19" spans="1:6" ht="91.2" x14ac:dyDescent="0.25">
      <c r="A19" s="864" t="s">
        <v>159</v>
      </c>
      <c r="B19" s="865" t="s">
        <v>2662</v>
      </c>
      <c r="C19" s="865" t="s">
        <v>1884</v>
      </c>
      <c r="D19" s="866" t="s">
        <v>2068</v>
      </c>
      <c r="E19" s="865" t="s">
        <v>2817</v>
      </c>
      <c r="F19" s="865">
        <v>18</v>
      </c>
    </row>
    <row r="20" spans="1:6" ht="193.8" x14ac:dyDescent="0.25">
      <c r="A20" s="864" t="s">
        <v>160</v>
      </c>
      <c r="B20" s="865" t="s">
        <v>2663</v>
      </c>
      <c r="C20" s="865" t="s">
        <v>2802</v>
      </c>
      <c r="D20" s="866" t="s">
        <v>2069</v>
      </c>
      <c r="E20" s="865" t="s">
        <v>2818</v>
      </c>
      <c r="F20" s="862">
        <v>19</v>
      </c>
    </row>
    <row r="21" spans="1:6" ht="136.80000000000001" x14ac:dyDescent="0.25">
      <c r="A21" s="864" t="s">
        <v>161</v>
      </c>
      <c r="B21" s="865" t="s">
        <v>1108</v>
      </c>
      <c r="C21" s="865" t="s">
        <v>1329</v>
      </c>
      <c r="D21" s="866" t="s">
        <v>2070</v>
      </c>
      <c r="E21" s="865" t="s">
        <v>2819</v>
      </c>
      <c r="F21" s="865">
        <v>20</v>
      </c>
    </row>
    <row r="22" spans="1:6" ht="114" x14ac:dyDescent="0.25">
      <c r="A22" s="864" t="s">
        <v>162</v>
      </c>
      <c r="B22" s="865" t="s">
        <v>2664</v>
      </c>
      <c r="C22" s="865" t="s">
        <v>2803</v>
      </c>
      <c r="D22" s="866" t="s">
        <v>2071</v>
      </c>
      <c r="E22" s="865" t="s">
        <v>2820</v>
      </c>
      <c r="F22" s="862">
        <v>21</v>
      </c>
    </row>
    <row r="23" spans="1:6" s="874" customFormat="1" ht="102.6" x14ac:dyDescent="0.2">
      <c r="A23" s="864" t="s">
        <v>163</v>
      </c>
      <c r="B23" s="865" t="s">
        <v>1109</v>
      </c>
      <c r="C23" s="865" t="s">
        <v>1330</v>
      </c>
      <c r="D23" s="866" t="s">
        <v>2072</v>
      </c>
      <c r="E23" s="867" t="s">
        <v>2821</v>
      </c>
      <c r="F23" s="865">
        <v>22</v>
      </c>
    </row>
    <row r="24" spans="1:6" s="874" customFormat="1" ht="262.2" x14ac:dyDescent="0.2">
      <c r="A24" s="864" t="s">
        <v>164</v>
      </c>
      <c r="B24" s="865" t="s">
        <v>2665</v>
      </c>
      <c r="C24" s="865" t="s">
        <v>2804</v>
      </c>
      <c r="D24" s="866" t="s">
        <v>2073</v>
      </c>
      <c r="E24" s="867" t="s">
        <v>2822</v>
      </c>
      <c r="F24" s="862">
        <v>23</v>
      </c>
    </row>
    <row r="25" spans="1:6" ht="125.4" x14ac:dyDescent="0.25">
      <c r="A25" s="864" t="s">
        <v>166</v>
      </c>
      <c r="B25" s="865" t="s">
        <v>1110</v>
      </c>
      <c r="C25" s="865" t="s">
        <v>1976</v>
      </c>
      <c r="D25" s="866" t="s">
        <v>2074</v>
      </c>
      <c r="E25" s="865" t="s">
        <v>2823</v>
      </c>
      <c r="F25" s="865">
        <v>24</v>
      </c>
    </row>
    <row r="26" spans="1:6" s="874" customFormat="1" ht="57" x14ac:dyDescent="0.2">
      <c r="A26" s="864" t="s">
        <v>964</v>
      </c>
      <c r="B26" s="865" t="s">
        <v>2666</v>
      </c>
      <c r="C26" s="865" t="s">
        <v>1331</v>
      </c>
      <c r="D26" s="866" t="s">
        <v>2075</v>
      </c>
      <c r="E26" s="867" t="s">
        <v>2824</v>
      </c>
      <c r="F26" s="862">
        <v>25</v>
      </c>
    </row>
    <row r="27" spans="1:6" s="871" customFormat="1" x14ac:dyDescent="0.25">
      <c r="A27" s="861" t="s">
        <v>66</v>
      </c>
      <c r="B27" s="862" t="s">
        <v>1228</v>
      </c>
      <c r="C27" s="862" t="s">
        <v>3299</v>
      </c>
      <c r="D27" s="863" t="s">
        <v>2076</v>
      </c>
      <c r="E27" s="862"/>
      <c r="F27" s="865">
        <v>26</v>
      </c>
    </row>
    <row r="28" spans="1:6" ht="159.6" x14ac:dyDescent="0.25">
      <c r="A28" s="864" t="s">
        <v>442</v>
      </c>
      <c r="B28" s="865" t="s">
        <v>1254</v>
      </c>
      <c r="C28" s="865" t="s">
        <v>3300</v>
      </c>
      <c r="D28" s="866" t="s">
        <v>2077</v>
      </c>
      <c r="F28" s="862">
        <v>27</v>
      </c>
    </row>
    <row r="29" spans="1:6" ht="91.2" x14ac:dyDescent="0.25">
      <c r="A29" s="864" t="s">
        <v>168</v>
      </c>
      <c r="B29" s="865" t="s">
        <v>1111</v>
      </c>
      <c r="C29" s="865" t="s">
        <v>1885</v>
      </c>
      <c r="D29" s="866" t="s">
        <v>2078</v>
      </c>
      <c r="E29" s="865" t="s">
        <v>2825</v>
      </c>
      <c r="F29" s="865">
        <v>28</v>
      </c>
    </row>
    <row r="30" spans="1:6" ht="91.2" x14ac:dyDescent="0.25">
      <c r="A30" s="864" t="s">
        <v>169</v>
      </c>
      <c r="B30" s="865" t="s">
        <v>2667</v>
      </c>
      <c r="C30" s="865" t="s">
        <v>1886</v>
      </c>
      <c r="D30" s="866" t="s">
        <v>2079</v>
      </c>
      <c r="E30" s="865" t="s">
        <v>2826</v>
      </c>
      <c r="F30" s="862">
        <v>29</v>
      </c>
    </row>
    <row r="31" spans="1:6" ht="79.8" x14ac:dyDescent="0.25">
      <c r="A31" s="864" t="s">
        <v>170</v>
      </c>
      <c r="B31" s="865" t="s">
        <v>1112</v>
      </c>
      <c r="C31" s="865" t="s">
        <v>1887</v>
      </c>
      <c r="D31" s="866" t="s">
        <v>2080</v>
      </c>
      <c r="E31" s="865" t="s">
        <v>2827</v>
      </c>
      <c r="F31" s="865">
        <v>30</v>
      </c>
    </row>
    <row r="32" spans="1:6" ht="91.2" x14ac:dyDescent="0.25">
      <c r="A32" s="864" t="s">
        <v>171</v>
      </c>
      <c r="B32" s="865" t="s">
        <v>2668</v>
      </c>
      <c r="C32" s="865" t="s">
        <v>3162</v>
      </c>
      <c r="D32" s="866" t="s">
        <v>2081</v>
      </c>
      <c r="E32" s="865" t="s">
        <v>2828</v>
      </c>
      <c r="F32" s="862">
        <v>31</v>
      </c>
    </row>
    <row r="33" spans="1:6" ht="79.8" x14ac:dyDescent="0.25">
      <c r="A33" s="864" t="s">
        <v>172</v>
      </c>
      <c r="B33" s="865" t="s">
        <v>1113</v>
      </c>
      <c r="C33" s="865" t="s">
        <v>1332</v>
      </c>
      <c r="D33" s="866" t="s">
        <v>2082</v>
      </c>
      <c r="E33" s="865" t="s">
        <v>2829</v>
      </c>
      <c r="F33" s="865">
        <v>32</v>
      </c>
    </row>
    <row r="34" spans="1:6" s="871" customFormat="1" ht="79.8" x14ac:dyDescent="0.25">
      <c r="A34" s="861" t="s">
        <v>173</v>
      </c>
      <c r="B34" s="862" t="s">
        <v>2669</v>
      </c>
      <c r="C34" s="862" t="s">
        <v>3163</v>
      </c>
      <c r="D34" s="863" t="s">
        <v>3363</v>
      </c>
      <c r="E34" s="865" t="s">
        <v>2830</v>
      </c>
      <c r="F34" s="862">
        <v>33</v>
      </c>
    </row>
    <row r="35" spans="1:6" ht="91.2" x14ac:dyDescent="0.25">
      <c r="A35" s="864" t="s">
        <v>174</v>
      </c>
      <c r="B35" s="865" t="s">
        <v>1114</v>
      </c>
      <c r="C35" s="865" t="s">
        <v>1333</v>
      </c>
      <c r="D35" s="866" t="s">
        <v>2083</v>
      </c>
      <c r="E35" s="865" t="s">
        <v>2831</v>
      </c>
      <c r="F35" s="865">
        <v>34</v>
      </c>
    </row>
    <row r="36" spans="1:6" s="874" customFormat="1" ht="148.19999999999999" x14ac:dyDescent="0.2">
      <c r="A36" s="864" t="s">
        <v>965</v>
      </c>
      <c r="B36" s="865" t="s">
        <v>2670</v>
      </c>
      <c r="C36" s="865" t="s">
        <v>1334</v>
      </c>
      <c r="D36" s="866" t="s">
        <v>2084</v>
      </c>
      <c r="E36" s="865" t="s">
        <v>2832</v>
      </c>
      <c r="F36" s="862">
        <v>35</v>
      </c>
    </row>
    <row r="37" spans="1:6" ht="125.4" x14ac:dyDescent="0.25">
      <c r="A37" s="864" t="s">
        <v>966</v>
      </c>
      <c r="B37" s="865" t="s">
        <v>1115</v>
      </c>
      <c r="C37" s="865" t="s">
        <v>1335</v>
      </c>
      <c r="D37" s="866" t="s">
        <v>2085</v>
      </c>
      <c r="E37" s="865" t="s">
        <v>2833</v>
      </c>
      <c r="F37" s="865">
        <v>36</v>
      </c>
    </row>
    <row r="38" spans="1:6" ht="79.8" x14ac:dyDescent="0.25">
      <c r="A38" s="864" t="s">
        <v>2609</v>
      </c>
      <c r="B38" s="865" t="s">
        <v>1116</v>
      </c>
      <c r="C38" s="865" t="s">
        <v>1336</v>
      </c>
      <c r="D38" s="866" t="s">
        <v>2086</v>
      </c>
      <c r="E38" s="865" t="s">
        <v>2834</v>
      </c>
      <c r="F38" s="862">
        <v>37</v>
      </c>
    </row>
    <row r="39" spans="1:6" x14ac:dyDescent="0.25">
      <c r="A39" s="861" t="s">
        <v>1017</v>
      </c>
      <c r="B39" s="862" t="s">
        <v>397</v>
      </c>
      <c r="C39" s="862" t="s">
        <v>708</v>
      </c>
      <c r="D39" s="863" t="s">
        <v>2087</v>
      </c>
      <c r="F39" s="865">
        <v>38</v>
      </c>
    </row>
    <row r="40" spans="1:6" ht="68.400000000000006" x14ac:dyDescent="0.25">
      <c r="A40" s="864" t="s">
        <v>1250</v>
      </c>
      <c r="B40" s="865" t="s">
        <v>399</v>
      </c>
      <c r="C40" s="865" t="s">
        <v>835</v>
      </c>
      <c r="D40" s="866" t="s">
        <v>2088</v>
      </c>
      <c r="F40" s="862">
        <v>39</v>
      </c>
    </row>
    <row r="41" spans="1:6" ht="79.8" x14ac:dyDescent="0.25">
      <c r="A41" s="864" t="s">
        <v>967</v>
      </c>
      <c r="B41" s="865" t="s">
        <v>1117</v>
      </c>
      <c r="C41" s="865" t="s">
        <v>1337</v>
      </c>
      <c r="D41" s="866" t="s">
        <v>2089</v>
      </c>
      <c r="E41" s="865" t="s">
        <v>2835</v>
      </c>
      <c r="F41" s="865">
        <v>40</v>
      </c>
    </row>
    <row r="42" spans="1:6" s="871" customFormat="1" ht="193.8" x14ac:dyDescent="0.25">
      <c r="A42" s="864" t="s">
        <v>968</v>
      </c>
      <c r="B42" s="865" t="s">
        <v>443</v>
      </c>
      <c r="C42" s="865" t="s">
        <v>1338</v>
      </c>
      <c r="D42" s="866" t="s">
        <v>2090</v>
      </c>
      <c r="E42" s="865" t="s">
        <v>2836</v>
      </c>
      <c r="F42" s="862">
        <v>41</v>
      </c>
    </row>
    <row r="43" spans="1:6" ht="159.6" x14ac:dyDescent="0.2">
      <c r="A43" s="864" t="s">
        <v>969</v>
      </c>
      <c r="B43" s="865" t="s">
        <v>1118</v>
      </c>
      <c r="C43" s="865" t="s">
        <v>1977</v>
      </c>
      <c r="D43" s="867" t="s">
        <v>2091</v>
      </c>
      <c r="E43" s="865" t="s">
        <v>2837</v>
      </c>
      <c r="F43" s="865">
        <v>42</v>
      </c>
    </row>
    <row r="44" spans="1:6" s="871" customFormat="1" ht="125.4" x14ac:dyDescent="0.25">
      <c r="A44" s="861" t="s">
        <v>970</v>
      </c>
      <c r="B44" s="862" t="s">
        <v>1119</v>
      </c>
      <c r="C44" s="862" t="s">
        <v>1340</v>
      </c>
      <c r="D44" s="863" t="s">
        <v>2093</v>
      </c>
      <c r="E44" s="865" t="s">
        <v>2838</v>
      </c>
      <c r="F44" s="862">
        <v>43</v>
      </c>
    </row>
    <row r="45" spans="1:6" ht="136.80000000000001" x14ac:dyDescent="0.25">
      <c r="A45" s="864" t="s">
        <v>971</v>
      </c>
      <c r="B45" s="865" t="s">
        <v>444</v>
      </c>
      <c r="C45" s="865" t="s">
        <v>1339</v>
      </c>
      <c r="D45" s="866" t="s">
        <v>2092</v>
      </c>
      <c r="E45" s="865" t="s">
        <v>2839</v>
      </c>
      <c r="F45" s="865">
        <v>44</v>
      </c>
    </row>
    <row r="46" spans="1:6" ht="34.200000000000003" x14ac:dyDescent="0.25">
      <c r="A46" s="864" t="s">
        <v>972</v>
      </c>
      <c r="B46" s="865" t="s">
        <v>1120</v>
      </c>
      <c r="C46" s="865" t="s">
        <v>1341</v>
      </c>
      <c r="D46" s="866" t="s">
        <v>2094</v>
      </c>
      <c r="E46" s="865" t="s">
        <v>2840</v>
      </c>
      <c r="F46" s="862">
        <v>45</v>
      </c>
    </row>
    <row r="47" spans="1:6" x14ac:dyDescent="0.25">
      <c r="A47" s="864" t="s">
        <v>77</v>
      </c>
      <c r="B47" s="865" t="s">
        <v>1183</v>
      </c>
      <c r="C47" s="865" t="s">
        <v>3301</v>
      </c>
      <c r="D47" s="866" t="s">
        <v>2095</v>
      </c>
      <c r="F47" s="865">
        <v>46</v>
      </c>
    </row>
    <row r="48" spans="1:6" s="874" customFormat="1" ht="79.8" x14ac:dyDescent="0.2">
      <c r="A48" s="864" t="s">
        <v>482</v>
      </c>
      <c r="B48" s="865" t="s">
        <v>1267</v>
      </c>
      <c r="C48" s="865" t="s">
        <v>3302</v>
      </c>
      <c r="D48" s="866" t="s">
        <v>2096</v>
      </c>
      <c r="E48" s="865"/>
      <c r="F48" s="862">
        <v>47</v>
      </c>
    </row>
    <row r="49" spans="1:6" x14ac:dyDescent="0.25">
      <c r="A49" s="864" t="s">
        <v>115</v>
      </c>
      <c r="B49" s="865" t="s">
        <v>483</v>
      </c>
      <c r="C49" s="865" t="s">
        <v>3303</v>
      </c>
      <c r="D49" s="866" t="s">
        <v>2097</v>
      </c>
      <c r="F49" s="865">
        <v>48</v>
      </c>
    </row>
    <row r="50" spans="1:6" ht="159.6" x14ac:dyDescent="0.25">
      <c r="A50" s="864" t="s">
        <v>484</v>
      </c>
      <c r="B50" s="865" t="s">
        <v>1255</v>
      </c>
      <c r="C50" s="865" t="s">
        <v>3304</v>
      </c>
      <c r="D50" s="866" t="s">
        <v>2098</v>
      </c>
      <c r="F50" s="862">
        <v>49</v>
      </c>
    </row>
    <row r="51" spans="1:6" ht="68.400000000000006" x14ac:dyDescent="0.25">
      <c r="A51" s="864" t="s">
        <v>303</v>
      </c>
      <c r="B51" s="865" t="s">
        <v>1184</v>
      </c>
      <c r="C51" s="865" t="s">
        <v>2009</v>
      </c>
      <c r="D51" s="866" t="s">
        <v>2099</v>
      </c>
      <c r="E51" s="865" t="s">
        <v>2841</v>
      </c>
      <c r="F51" s="865">
        <v>50</v>
      </c>
    </row>
    <row r="52" spans="1:6" ht="91.2" x14ac:dyDescent="0.25">
      <c r="A52" s="864" t="s">
        <v>304</v>
      </c>
      <c r="B52" s="865" t="s">
        <v>2671</v>
      </c>
      <c r="C52" s="865" t="s">
        <v>2010</v>
      </c>
      <c r="D52" s="866" t="s">
        <v>2100</v>
      </c>
      <c r="E52" s="865" t="s">
        <v>2842</v>
      </c>
      <c r="F52" s="862">
        <v>51</v>
      </c>
    </row>
    <row r="53" spans="1:6" ht="114" x14ac:dyDescent="0.25">
      <c r="A53" s="864" t="s">
        <v>305</v>
      </c>
      <c r="B53" s="865" t="s">
        <v>485</v>
      </c>
      <c r="C53" s="865" t="s">
        <v>1479</v>
      </c>
      <c r="D53" s="866" t="s">
        <v>2101</v>
      </c>
      <c r="E53" s="865" t="s">
        <v>2843</v>
      </c>
      <c r="F53" s="865">
        <v>52</v>
      </c>
    </row>
    <row r="54" spans="1:6" ht="79.8" x14ac:dyDescent="0.25">
      <c r="A54" s="864" t="s">
        <v>306</v>
      </c>
      <c r="B54" s="865" t="s">
        <v>2672</v>
      </c>
      <c r="C54" s="865" t="s">
        <v>2011</v>
      </c>
      <c r="D54" s="866" t="s">
        <v>2102</v>
      </c>
      <c r="E54" s="865" t="s">
        <v>2844</v>
      </c>
      <c r="F54" s="862">
        <v>53</v>
      </c>
    </row>
    <row r="55" spans="1:6" ht="79.8" x14ac:dyDescent="0.25">
      <c r="A55" s="864" t="s">
        <v>307</v>
      </c>
      <c r="B55" s="865" t="s">
        <v>2673</v>
      </c>
      <c r="C55" s="865" t="s">
        <v>3170</v>
      </c>
      <c r="D55" s="866" t="s">
        <v>3364</v>
      </c>
      <c r="E55" s="865" t="s">
        <v>2845</v>
      </c>
      <c r="F55" s="865">
        <v>54</v>
      </c>
    </row>
    <row r="56" spans="1:6" s="871" customFormat="1" ht="68.400000000000006" x14ac:dyDescent="0.25">
      <c r="A56" s="861" t="s">
        <v>308</v>
      </c>
      <c r="B56" s="862" t="s">
        <v>1185</v>
      </c>
      <c r="C56" s="862" t="s">
        <v>1379</v>
      </c>
      <c r="D56" s="863" t="s">
        <v>2103</v>
      </c>
      <c r="E56" s="865" t="s">
        <v>2846</v>
      </c>
      <c r="F56" s="862">
        <v>55</v>
      </c>
    </row>
    <row r="57" spans="1:6" ht="79.8" x14ac:dyDescent="0.25">
      <c r="A57" s="864" t="s">
        <v>309</v>
      </c>
      <c r="B57" s="865" t="s">
        <v>1186</v>
      </c>
      <c r="C57" s="865" t="s">
        <v>1380</v>
      </c>
      <c r="D57" s="866" t="s">
        <v>2104</v>
      </c>
      <c r="E57" s="865" t="s">
        <v>2847</v>
      </c>
      <c r="F57" s="865">
        <v>56</v>
      </c>
    </row>
    <row r="58" spans="1:6" ht="68.400000000000006" x14ac:dyDescent="0.25">
      <c r="A58" s="864" t="s">
        <v>310</v>
      </c>
      <c r="B58" s="865" t="s">
        <v>486</v>
      </c>
      <c r="C58" s="865" t="s">
        <v>2012</v>
      </c>
      <c r="D58" s="866" t="s">
        <v>2105</v>
      </c>
      <c r="E58" s="865" t="s">
        <v>2848</v>
      </c>
      <c r="F58" s="862">
        <v>57</v>
      </c>
    </row>
    <row r="59" spans="1:6" ht="91.2" x14ac:dyDescent="0.25">
      <c r="A59" s="864" t="s">
        <v>311</v>
      </c>
      <c r="B59" s="865" t="s">
        <v>1187</v>
      </c>
      <c r="C59" s="865" t="s">
        <v>1381</v>
      </c>
      <c r="D59" s="866" t="s">
        <v>2106</v>
      </c>
      <c r="E59" s="865" t="s">
        <v>2849</v>
      </c>
      <c r="F59" s="865">
        <v>58</v>
      </c>
    </row>
    <row r="60" spans="1:6" ht="102.6" x14ac:dyDescent="0.25">
      <c r="A60" s="864" t="s">
        <v>992</v>
      </c>
      <c r="B60" s="865" t="s">
        <v>2674</v>
      </c>
      <c r="C60" s="865" t="s">
        <v>3171</v>
      </c>
      <c r="D60" s="866" t="s">
        <v>3365</v>
      </c>
      <c r="E60" s="865" t="s">
        <v>2850</v>
      </c>
      <c r="F60" s="862">
        <v>59</v>
      </c>
    </row>
    <row r="61" spans="1:6" ht="91.2" x14ac:dyDescent="0.25">
      <c r="A61" s="864" t="s">
        <v>2610</v>
      </c>
      <c r="B61" s="865" t="s">
        <v>2675</v>
      </c>
      <c r="C61" s="865" t="s">
        <v>3172</v>
      </c>
      <c r="D61" s="866" t="s">
        <v>3366</v>
      </c>
      <c r="E61" s="865" t="s">
        <v>2851</v>
      </c>
      <c r="F61" s="865">
        <v>60</v>
      </c>
    </row>
    <row r="62" spans="1:6" x14ac:dyDescent="0.25">
      <c r="A62" s="864" t="s">
        <v>118</v>
      </c>
      <c r="B62" s="865" t="s">
        <v>1231</v>
      </c>
      <c r="C62" s="865" t="s">
        <v>3305</v>
      </c>
      <c r="D62" s="866" t="s">
        <v>2107</v>
      </c>
      <c r="F62" s="862">
        <v>61</v>
      </c>
    </row>
    <row r="63" spans="1:6" ht="45.6" x14ac:dyDescent="0.25">
      <c r="A63" s="864" t="s">
        <v>487</v>
      </c>
      <c r="B63" s="865" t="s">
        <v>1451</v>
      </c>
      <c r="C63" s="865" t="s">
        <v>3306</v>
      </c>
      <c r="D63" s="866" t="s">
        <v>2108</v>
      </c>
      <c r="F63" s="865">
        <v>62</v>
      </c>
    </row>
    <row r="64" spans="1:6" ht="91.2" x14ac:dyDescent="0.25">
      <c r="A64" s="864" t="s">
        <v>312</v>
      </c>
      <c r="B64" s="865" t="s">
        <v>2676</v>
      </c>
      <c r="C64" s="865" t="s">
        <v>3173</v>
      </c>
      <c r="D64" s="866" t="s">
        <v>3367</v>
      </c>
      <c r="E64" s="865" t="s">
        <v>2852</v>
      </c>
      <c r="F64" s="862">
        <v>63</v>
      </c>
    </row>
    <row r="65" spans="1:6" ht="102.6" x14ac:dyDescent="0.25">
      <c r="A65" s="864" t="s">
        <v>313</v>
      </c>
      <c r="B65" s="865" t="s">
        <v>1188</v>
      </c>
      <c r="C65" s="865" t="s">
        <v>1888</v>
      </c>
      <c r="D65" s="866" t="s">
        <v>2109</v>
      </c>
      <c r="E65" s="865" t="s">
        <v>2853</v>
      </c>
      <c r="F65" s="865">
        <v>64</v>
      </c>
    </row>
    <row r="66" spans="1:6" ht="91.2" x14ac:dyDescent="0.25">
      <c r="A66" s="864" t="s">
        <v>314</v>
      </c>
      <c r="B66" s="865" t="s">
        <v>1190</v>
      </c>
      <c r="C66" s="865" t="s">
        <v>1978</v>
      </c>
      <c r="D66" s="866" t="s">
        <v>2112</v>
      </c>
      <c r="E66" s="865" t="s">
        <v>2854</v>
      </c>
      <c r="F66" s="862">
        <v>65</v>
      </c>
    </row>
    <row r="67" spans="1:6" ht="239.4" x14ac:dyDescent="0.25">
      <c r="A67" s="864" t="s">
        <v>993</v>
      </c>
      <c r="B67" s="865" t="s">
        <v>2677</v>
      </c>
      <c r="C67" s="865" t="s">
        <v>3174</v>
      </c>
      <c r="D67" s="866" t="s">
        <v>2110</v>
      </c>
      <c r="E67" s="865" t="s">
        <v>2855</v>
      </c>
      <c r="F67" s="865">
        <v>66</v>
      </c>
    </row>
    <row r="68" spans="1:6" ht="91.2" x14ac:dyDescent="0.25">
      <c r="A68" s="864" t="s">
        <v>994</v>
      </c>
      <c r="B68" s="865" t="s">
        <v>1189</v>
      </c>
      <c r="C68" s="865" t="s">
        <v>1382</v>
      </c>
      <c r="D68" s="866" t="s">
        <v>2111</v>
      </c>
      <c r="E68" s="865" t="s">
        <v>2856</v>
      </c>
      <c r="F68" s="862">
        <v>67</v>
      </c>
    </row>
    <row r="69" spans="1:6" ht="102.6" x14ac:dyDescent="0.25">
      <c r="A69" s="864" t="s">
        <v>995</v>
      </c>
      <c r="B69" s="865" t="s">
        <v>2678</v>
      </c>
      <c r="C69" s="865" t="s">
        <v>3175</v>
      </c>
      <c r="D69" s="866" t="s">
        <v>3368</v>
      </c>
      <c r="E69" s="865" t="s">
        <v>2857</v>
      </c>
      <c r="F69" s="865">
        <v>68</v>
      </c>
    </row>
    <row r="70" spans="1:6" s="871" customFormat="1" ht="102.6" x14ac:dyDescent="0.25">
      <c r="A70" s="861" t="s">
        <v>996</v>
      </c>
      <c r="B70" s="862" t="s">
        <v>1191</v>
      </c>
      <c r="C70" s="862" t="s">
        <v>1979</v>
      </c>
      <c r="D70" s="863" t="s">
        <v>2113</v>
      </c>
      <c r="E70" s="865" t="s">
        <v>2858</v>
      </c>
      <c r="F70" s="862">
        <v>69</v>
      </c>
    </row>
    <row r="71" spans="1:6" ht="250.8" x14ac:dyDescent="0.2">
      <c r="A71" s="864" t="s">
        <v>997</v>
      </c>
      <c r="B71" s="865" t="s">
        <v>1192</v>
      </c>
      <c r="C71" s="865" t="s">
        <v>1383</v>
      </c>
      <c r="D71" s="867" t="s">
        <v>2114</v>
      </c>
      <c r="E71" s="865" t="s">
        <v>2859</v>
      </c>
      <c r="F71" s="865">
        <v>70</v>
      </c>
    </row>
    <row r="72" spans="1:6" s="874" customFormat="1" ht="91.2" x14ac:dyDescent="0.2">
      <c r="A72" s="864" t="s">
        <v>998</v>
      </c>
      <c r="B72" s="865" t="s">
        <v>2679</v>
      </c>
      <c r="C72" s="865" t="s">
        <v>3176</v>
      </c>
      <c r="D72" s="866" t="s">
        <v>3369</v>
      </c>
      <c r="E72" s="865" t="s">
        <v>2860</v>
      </c>
      <c r="F72" s="862">
        <v>71</v>
      </c>
    </row>
    <row r="73" spans="1:6" ht="114" x14ac:dyDescent="0.25">
      <c r="A73" s="864" t="s">
        <v>999</v>
      </c>
      <c r="B73" s="865" t="s">
        <v>2680</v>
      </c>
      <c r="C73" s="865" t="s">
        <v>3177</v>
      </c>
      <c r="D73" s="866" t="s">
        <v>2115</v>
      </c>
      <c r="E73" s="865" t="s">
        <v>2861</v>
      </c>
      <c r="F73" s="865">
        <v>72</v>
      </c>
    </row>
    <row r="74" spans="1:6" ht="79.8" x14ac:dyDescent="0.25">
      <c r="A74" s="864" t="s">
        <v>1000</v>
      </c>
      <c r="B74" s="865" t="s">
        <v>2681</v>
      </c>
      <c r="C74" s="865" t="s">
        <v>1500</v>
      </c>
      <c r="D74" s="866" t="s">
        <v>3370</v>
      </c>
      <c r="E74" s="865" t="s">
        <v>2862</v>
      </c>
      <c r="F74" s="862">
        <v>73</v>
      </c>
    </row>
    <row r="75" spans="1:6" ht="91.2" x14ac:dyDescent="0.25">
      <c r="A75" s="864" t="s">
        <v>1001</v>
      </c>
      <c r="B75" s="865" t="s">
        <v>1193</v>
      </c>
      <c r="C75" s="865" t="s">
        <v>1384</v>
      </c>
      <c r="D75" s="866" t="s">
        <v>2116</v>
      </c>
      <c r="E75" s="865" t="s">
        <v>2863</v>
      </c>
      <c r="F75" s="865">
        <v>74</v>
      </c>
    </row>
    <row r="76" spans="1:6" ht="22.8" x14ac:dyDescent="0.25">
      <c r="A76" s="861" t="s">
        <v>121</v>
      </c>
      <c r="B76" s="862" t="s">
        <v>1235</v>
      </c>
      <c r="C76" s="862" t="s">
        <v>3307</v>
      </c>
      <c r="D76" s="863" t="s">
        <v>2117</v>
      </c>
      <c r="F76" s="862">
        <v>75</v>
      </c>
    </row>
    <row r="77" spans="1:6" s="874" customFormat="1" ht="79.8" x14ac:dyDescent="0.2">
      <c r="A77" s="864" t="s">
        <v>488</v>
      </c>
      <c r="B77" s="865" t="s">
        <v>1452</v>
      </c>
      <c r="C77" s="865" t="s">
        <v>3308</v>
      </c>
      <c r="D77" s="866" t="s">
        <v>2118</v>
      </c>
      <c r="E77" s="865"/>
      <c r="F77" s="865">
        <v>76</v>
      </c>
    </row>
    <row r="78" spans="1:6" ht="114" x14ac:dyDescent="0.25">
      <c r="A78" s="864" t="s">
        <v>315</v>
      </c>
      <c r="B78" s="865" t="s">
        <v>2682</v>
      </c>
      <c r="C78" s="865" t="s">
        <v>3178</v>
      </c>
      <c r="D78" s="866" t="s">
        <v>3371</v>
      </c>
      <c r="E78" s="865" t="s">
        <v>2864</v>
      </c>
      <c r="F78" s="862">
        <v>77</v>
      </c>
    </row>
    <row r="79" spans="1:6" ht="102.6" x14ac:dyDescent="0.25">
      <c r="A79" s="864" t="s">
        <v>316</v>
      </c>
      <c r="B79" s="865" t="s">
        <v>2683</v>
      </c>
      <c r="C79" s="865" t="s">
        <v>3469</v>
      </c>
      <c r="D79" s="866" t="s">
        <v>3470</v>
      </c>
      <c r="E79" s="865" t="s">
        <v>2865</v>
      </c>
      <c r="F79" s="865">
        <v>78</v>
      </c>
    </row>
    <row r="80" spans="1:6" ht="136.80000000000001" x14ac:dyDescent="0.25">
      <c r="A80" s="864" t="s">
        <v>317</v>
      </c>
      <c r="B80" s="865" t="s">
        <v>1194</v>
      </c>
      <c r="C80" s="865" t="s">
        <v>1385</v>
      </c>
      <c r="D80" s="866" t="s">
        <v>2119</v>
      </c>
      <c r="E80" s="865" t="s">
        <v>2866</v>
      </c>
      <c r="F80" s="862">
        <v>79</v>
      </c>
    </row>
    <row r="81" spans="1:6" ht="79.8" x14ac:dyDescent="0.25">
      <c r="A81" s="864" t="s">
        <v>318</v>
      </c>
      <c r="B81" s="865" t="s">
        <v>1195</v>
      </c>
      <c r="C81" s="865" t="s">
        <v>1386</v>
      </c>
      <c r="D81" s="866" t="s">
        <v>2120</v>
      </c>
      <c r="E81" s="865" t="s">
        <v>2867</v>
      </c>
      <c r="F81" s="865">
        <v>80</v>
      </c>
    </row>
    <row r="82" spans="1:6" s="871" customFormat="1" ht="68.400000000000006" x14ac:dyDescent="0.25">
      <c r="A82" s="861" t="s">
        <v>1002</v>
      </c>
      <c r="B82" s="862" t="s">
        <v>2684</v>
      </c>
      <c r="C82" s="862" t="s">
        <v>3179</v>
      </c>
      <c r="D82" s="863" t="s">
        <v>3372</v>
      </c>
      <c r="E82" s="865" t="s">
        <v>2868</v>
      </c>
      <c r="F82" s="862">
        <v>81</v>
      </c>
    </row>
    <row r="83" spans="1:6" ht="79.8" x14ac:dyDescent="0.25">
      <c r="A83" s="864" t="s">
        <v>1003</v>
      </c>
      <c r="B83" s="865" t="s">
        <v>1196</v>
      </c>
      <c r="C83" s="865" t="s">
        <v>1387</v>
      </c>
      <c r="D83" s="866" t="s">
        <v>2121</v>
      </c>
      <c r="E83" s="865" t="s">
        <v>2869</v>
      </c>
      <c r="F83" s="865">
        <v>82</v>
      </c>
    </row>
    <row r="84" spans="1:6" ht="34.200000000000003" x14ac:dyDescent="0.25">
      <c r="A84" s="864" t="s">
        <v>1004</v>
      </c>
      <c r="B84" s="865" t="s">
        <v>1197</v>
      </c>
      <c r="C84" s="865" t="s">
        <v>1388</v>
      </c>
      <c r="D84" s="866" t="s">
        <v>2122</v>
      </c>
      <c r="E84" s="865" t="s">
        <v>2870</v>
      </c>
      <c r="F84" s="862">
        <v>83</v>
      </c>
    </row>
    <row r="85" spans="1:6" ht="114" x14ac:dyDescent="0.25">
      <c r="A85" s="864" t="s">
        <v>1005</v>
      </c>
      <c r="B85" s="865" t="s">
        <v>2685</v>
      </c>
      <c r="C85" s="865" t="s">
        <v>3180</v>
      </c>
      <c r="D85" s="866" t="s">
        <v>3373</v>
      </c>
      <c r="E85" s="865" t="s">
        <v>2871</v>
      </c>
      <c r="F85" s="865">
        <v>84</v>
      </c>
    </row>
    <row r="86" spans="1:6" ht="57" x14ac:dyDescent="0.25">
      <c r="A86" s="864" t="s">
        <v>1006</v>
      </c>
      <c r="B86" s="865" t="s">
        <v>2686</v>
      </c>
      <c r="C86" s="865" t="s">
        <v>3181</v>
      </c>
      <c r="D86" s="866" t="s">
        <v>3374</v>
      </c>
      <c r="E86" s="865" t="s">
        <v>2872</v>
      </c>
      <c r="F86" s="862">
        <v>85</v>
      </c>
    </row>
    <row r="87" spans="1:6" ht="34.200000000000003" x14ac:dyDescent="0.25">
      <c r="A87" s="864" t="s">
        <v>1007</v>
      </c>
      <c r="B87" s="865" t="s">
        <v>2687</v>
      </c>
      <c r="C87" s="865" t="s">
        <v>3182</v>
      </c>
      <c r="D87" s="866" t="s">
        <v>3375</v>
      </c>
      <c r="E87" s="865" t="s">
        <v>2873</v>
      </c>
      <c r="F87" s="865">
        <v>86</v>
      </c>
    </row>
    <row r="88" spans="1:6" ht="114" x14ac:dyDescent="0.25">
      <c r="A88" s="864" t="s">
        <v>2611</v>
      </c>
      <c r="B88" s="865" t="s">
        <v>2688</v>
      </c>
      <c r="C88" s="865" t="s">
        <v>3183</v>
      </c>
      <c r="D88" s="866" t="s">
        <v>3376</v>
      </c>
      <c r="E88" s="865" t="s">
        <v>2874</v>
      </c>
      <c r="F88" s="862">
        <v>87</v>
      </c>
    </row>
    <row r="89" spans="1:6" ht="79.8" x14ac:dyDescent="0.25">
      <c r="A89" s="864" t="s">
        <v>2612</v>
      </c>
      <c r="B89" s="865" t="s">
        <v>1198</v>
      </c>
      <c r="C89" s="865" t="s">
        <v>1980</v>
      </c>
      <c r="D89" s="866" t="s">
        <v>2123</v>
      </c>
      <c r="E89" s="865" t="s">
        <v>2875</v>
      </c>
      <c r="F89" s="865">
        <v>88</v>
      </c>
    </row>
    <row r="90" spans="1:6" ht="34.200000000000003" x14ac:dyDescent="0.25">
      <c r="A90" s="864" t="s">
        <v>2613</v>
      </c>
      <c r="B90" s="865" t="s">
        <v>2689</v>
      </c>
      <c r="C90" s="865" t="s">
        <v>3184</v>
      </c>
      <c r="D90" s="866" t="s">
        <v>3377</v>
      </c>
      <c r="E90" s="865" t="s">
        <v>2876</v>
      </c>
      <c r="F90" s="862">
        <v>89</v>
      </c>
    </row>
    <row r="91" spans="1:6" x14ac:dyDescent="0.25">
      <c r="A91" s="864" t="s">
        <v>124</v>
      </c>
      <c r="B91" s="865" t="s">
        <v>1237</v>
      </c>
      <c r="C91" s="865" t="s">
        <v>3309</v>
      </c>
      <c r="D91" s="866" t="s">
        <v>2124</v>
      </c>
      <c r="F91" s="865">
        <v>90</v>
      </c>
    </row>
    <row r="92" spans="1:6" s="871" customFormat="1" ht="68.400000000000006" x14ac:dyDescent="0.25">
      <c r="A92" s="861" t="s">
        <v>490</v>
      </c>
      <c r="B92" s="862" t="s">
        <v>1453</v>
      </c>
      <c r="C92" s="862" t="s">
        <v>3310</v>
      </c>
      <c r="D92" s="863" t="s">
        <v>2125</v>
      </c>
      <c r="E92" s="865"/>
      <c r="F92" s="862">
        <v>91</v>
      </c>
    </row>
    <row r="93" spans="1:6" ht="125.4" x14ac:dyDescent="0.25">
      <c r="A93" s="864" t="s">
        <v>319</v>
      </c>
      <c r="B93" s="865" t="s">
        <v>2690</v>
      </c>
      <c r="C93" s="865" t="s">
        <v>3185</v>
      </c>
      <c r="D93" s="866" t="s">
        <v>2126</v>
      </c>
      <c r="E93" s="865" t="s">
        <v>2877</v>
      </c>
      <c r="F93" s="865">
        <v>92</v>
      </c>
    </row>
    <row r="94" spans="1:6" ht="193.8" x14ac:dyDescent="0.25">
      <c r="A94" s="864" t="s">
        <v>320</v>
      </c>
      <c r="B94" s="865" t="s">
        <v>2691</v>
      </c>
      <c r="C94" s="865" t="s">
        <v>3186</v>
      </c>
      <c r="D94" s="866" t="s">
        <v>2127</v>
      </c>
      <c r="E94" s="865" t="s">
        <v>2878</v>
      </c>
      <c r="F94" s="862">
        <v>93</v>
      </c>
    </row>
    <row r="95" spans="1:6" ht="34.200000000000003" x14ac:dyDescent="0.25">
      <c r="A95" s="864" t="s">
        <v>321</v>
      </c>
      <c r="B95" s="865" t="s">
        <v>2692</v>
      </c>
      <c r="C95" s="865" t="s">
        <v>3187</v>
      </c>
      <c r="D95" s="866" t="s">
        <v>3378</v>
      </c>
      <c r="E95" s="865" t="s">
        <v>2879</v>
      </c>
      <c r="F95" s="865">
        <v>94</v>
      </c>
    </row>
    <row r="96" spans="1:6" s="874" customFormat="1" ht="68.400000000000006" x14ac:dyDescent="0.2">
      <c r="A96" s="864" t="s">
        <v>322</v>
      </c>
      <c r="B96" s="865" t="s">
        <v>1199</v>
      </c>
      <c r="C96" s="865" t="s">
        <v>1389</v>
      </c>
      <c r="D96" s="866" t="s">
        <v>2128</v>
      </c>
      <c r="E96" s="865" t="s">
        <v>2880</v>
      </c>
      <c r="F96" s="862">
        <v>95</v>
      </c>
    </row>
    <row r="97" spans="1:6" ht="148.19999999999999" x14ac:dyDescent="0.25">
      <c r="A97" s="864" t="s">
        <v>323</v>
      </c>
      <c r="B97" s="865" t="s">
        <v>1200</v>
      </c>
      <c r="C97" s="865" t="s">
        <v>1390</v>
      </c>
      <c r="D97" s="866" t="s">
        <v>2129</v>
      </c>
      <c r="E97" s="865" t="s">
        <v>2881</v>
      </c>
      <c r="F97" s="865">
        <v>96</v>
      </c>
    </row>
    <row r="98" spans="1:6" ht="68.400000000000006" x14ac:dyDescent="0.25">
      <c r="A98" s="864" t="s">
        <v>324</v>
      </c>
      <c r="B98" s="865" t="s">
        <v>1201</v>
      </c>
      <c r="C98" s="865" t="s">
        <v>1391</v>
      </c>
      <c r="D98" s="866" t="s">
        <v>2130</v>
      </c>
      <c r="E98" s="865" t="s">
        <v>2882</v>
      </c>
      <c r="F98" s="862">
        <v>97</v>
      </c>
    </row>
    <row r="99" spans="1:6" ht="79.8" x14ac:dyDescent="0.25">
      <c r="A99" s="864" t="s">
        <v>325</v>
      </c>
      <c r="B99" s="865" t="s">
        <v>1202</v>
      </c>
      <c r="C99" s="865" t="s">
        <v>1392</v>
      </c>
      <c r="D99" s="866" t="s">
        <v>2131</v>
      </c>
      <c r="E99" s="865" t="s">
        <v>2883</v>
      </c>
      <c r="F99" s="865">
        <v>98</v>
      </c>
    </row>
    <row r="100" spans="1:6" ht="91.2" x14ac:dyDescent="0.25">
      <c r="A100" s="864" t="s">
        <v>326</v>
      </c>
      <c r="B100" s="865" t="s">
        <v>1203</v>
      </c>
      <c r="C100" s="865" t="s">
        <v>1981</v>
      </c>
      <c r="D100" s="866" t="s">
        <v>2132</v>
      </c>
      <c r="E100" s="865" t="s">
        <v>2884</v>
      </c>
      <c r="F100" s="862">
        <v>99</v>
      </c>
    </row>
    <row r="101" spans="1:6" x14ac:dyDescent="0.25">
      <c r="A101" s="864" t="s">
        <v>127</v>
      </c>
      <c r="B101" s="865" t="s">
        <v>489</v>
      </c>
      <c r="C101" s="865" t="s">
        <v>3311</v>
      </c>
      <c r="D101" s="866" t="s">
        <v>2133</v>
      </c>
      <c r="F101" s="865">
        <v>100</v>
      </c>
    </row>
    <row r="102" spans="1:6" s="871" customFormat="1" ht="57" x14ac:dyDescent="0.25">
      <c r="A102" s="861" t="s">
        <v>491</v>
      </c>
      <c r="B102" s="862" t="s">
        <v>1454</v>
      </c>
      <c r="C102" s="862" t="s">
        <v>3312</v>
      </c>
      <c r="D102" s="863" t="s">
        <v>2134</v>
      </c>
      <c r="E102" s="865"/>
      <c r="F102" s="862">
        <v>101</v>
      </c>
    </row>
    <row r="103" spans="1:6" ht="91.2" x14ac:dyDescent="0.25">
      <c r="A103" s="864" t="s">
        <v>329</v>
      </c>
      <c r="B103" s="865" t="s">
        <v>1204</v>
      </c>
      <c r="C103" s="865" t="s">
        <v>1889</v>
      </c>
      <c r="D103" s="866" t="s">
        <v>2135</v>
      </c>
      <c r="E103" s="865" t="s">
        <v>2885</v>
      </c>
      <c r="F103" s="865">
        <v>102</v>
      </c>
    </row>
    <row r="104" spans="1:6" ht="114" x14ac:dyDescent="0.25">
      <c r="A104" s="864" t="s">
        <v>330</v>
      </c>
      <c r="B104" s="865" t="s">
        <v>2693</v>
      </c>
      <c r="C104" s="865" t="s">
        <v>3188</v>
      </c>
      <c r="D104" s="866" t="s">
        <v>3379</v>
      </c>
      <c r="E104" s="865" t="s">
        <v>2886</v>
      </c>
      <c r="F104" s="862">
        <v>103</v>
      </c>
    </row>
    <row r="105" spans="1:6" ht="91.2" x14ac:dyDescent="0.25">
      <c r="A105" s="864" t="s">
        <v>331</v>
      </c>
      <c r="B105" s="865" t="s">
        <v>2694</v>
      </c>
      <c r="C105" s="865" t="s">
        <v>3189</v>
      </c>
      <c r="D105" s="866" t="s">
        <v>3380</v>
      </c>
      <c r="E105" s="865" t="s">
        <v>2887</v>
      </c>
      <c r="F105" s="865">
        <v>104</v>
      </c>
    </row>
    <row r="106" spans="1:6" ht="159.6" x14ac:dyDescent="0.25">
      <c r="A106" s="864" t="s">
        <v>332</v>
      </c>
      <c r="B106" s="865" t="s">
        <v>2695</v>
      </c>
      <c r="C106" s="865" t="s">
        <v>3190</v>
      </c>
      <c r="D106" s="866" t="s">
        <v>3381</v>
      </c>
      <c r="E106" s="865" t="s">
        <v>2888</v>
      </c>
      <c r="F106" s="862">
        <v>105</v>
      </c>
    </row>
    <row r="107" spans="1:6" ht="91.2" x14ac:dyDescent="0.25">
      <c r="A107" s="864" t="s">
        <v>333</v>
      </c>
      <c r="B107" s="865" t="s">
        <v>1205</v>
      </c>
      <c r="C107" s="865" t="s">
        <v>1393</v>
      </c>
      <c r="D107" s="866" t="s">
        <v>2136</v>
      </c>
      <c r="E107" s="865" t="s">
        <v>2889</v>
      </c>
      <c r="F107" s="865">
        <v>106</v>
      </c>
    </row>
    <row r="108" spans="1:6" ht="79.8" x14ac:dyDescent="0.25">
      <c r="A108" s="864" t="s">
        <v>334</v>
      </c>
      <c r="B108" s="865" t="s">
        <v>1206</v>
      </c>
      <c r="C108" s="865" t="s">
        <v>1394</v>
      </c>
      <c r="D108" s="866" t="s">
        <v>2137</v>
      </c>
      <c r="E108" s="865" t="s">
        <v>2890</v>
      </c>
      <c r="F108" s="862">
        <v>107</v>
      </c>
    </row>
    <row r="109" spans="1:6" ht="79.8" x14ac:dyDescent="0.25">
      <c r="A109" s="864" t="s">
        <v>335</v>
      </c>
      <c r="B109" s="865" t="s">
        <v>1207</v>
      </c>
      <c r="C109" s="865" t="s">
        <v>1395</v>
      </c>
      <c r="D109" s="866" t="s">
        <v>2138</v>
      </c>
      <c r="E109" s="865" t="s">
        <v>2891</v>
      </c>
      <c r="F109" s="865">
        <v>108</v>
      </c>
    </row>
    <row r="110" spans="1:6" s="871" customFormat="1" ht="102.6" x14ac:dyDescent="0.25">
      <c r="A110" s="864" t="s">
        <v>1008</v>
      </c>
      <c r="B110" s="865" t="s">
        <v>1208</v>
      </c>
      <c r="C110" s="865" t="s">
        <v>1396</v>
      </c>
      <c r="D110" s="866" t="s">
        <v>2139</v>
      </c>
      <c r="E110" s="865" t="s">
        <v>2892</v>
      </c>
      <c r="F110" s="862">
        <v>109</v>
      </c>
    </row>
    <row r="111" spans="1:6" x14ac:dyDescent="0.25">
      <c r="A111" s="861" t="s">
        <v>1027</v>
      </c>
      <c r="B111" s="862" t="s">
        <v>397</v>
      </c>
      <c r="C111" s="862" t="s">
        <v>708</v>
      </c>
      <c r="D111" s="863" t="s">
        <v>2087</v>
      </c>
      <c r="F111" s="865">
        <v>110</v>
      </c>
    </row>
    <row r="112" spans="1:6" s="871" customFormat="1" ht="68.400000000000006" x14ac:dyDescent="0.25">
      <c r="A112" s="864" t="s">
        <v>1253</v>
      </c>
      <c r="B112" s="865" t="s">
        <v>399</v>
      </c>
      <c r="C112" s="865" t="s">
        <v>835</v>
      </c>
      <c r="D112" s="866" t="s">
        <v>2088</v>
      </c>
      <c r="E112" s="865"/>
      <c r="F112" s="862">
        <v>111</v>
      </c>
    </row>
    <row r="113" spans="1:6" ht="79.8" x14ac:dyDescent="0.25">
      <c r="A113" s="864" t="s">
        <v>1009</v>
      </c>
      <c r="B113" s="865" t="s">
        <v>1209</v>
      </c>
      <c r="C113" s="865" t="s">
        <v>1397</v>
      </c>
      <c r="D113" s="866" t="s">
        <v>2140</v>
      </c>
      <c r="E113" s="865" t="s">
        <v>2893</v>
      </c>
      <c r="F113" s="865">
        <v>112</v>
      </c>
    </row>
    <row r="114" spans="1:6" ht="216.6" x14ac:dyDescent="0.25">
      <c r="A114" s="864" t="s">
        <v>1010</v>
      </c>
      <c r="B114" s="865" t="s">
        <v>492</v>
      </c>
      <c r="C114" s="865" t="s">
        <v>1398</v>
      </c>
      <c r="D114" s="866" t="s">
        <v>2141</v>
      </c>
      <c r="E114" s="865" t="s">
        <v>2894</v>
      </c>
      <c r="F114" s="862">
        <v>113</v>
      </c>
    </row>
    <row r="115" spans="1:6" ht="148.19999999999999" x14ac:dyDescent="0.25">
      <c r="A115" s="864" t="s">
        <v>1011</v>
      </c>
      <c r="B115" s="865" t="s">
        <v>1210</v>
      </c>
      <c r="C115" s="865" t="s">
        <v>1982</v>
      </c>
      <c r="D115" s="866" t="s">
        <v>2142</v>
      </c>
      <c r="E115" s="865" t="s">
        <v>2895</v>
      </c>
      <c r="F115" s="865">
        <v>114</v>
      </c>
    </row>
    <row r="116" spans="1:6" ht="125.4" x14ac:dyDescent="0.25">
      <c r="A116" s="864" t="s">
        <v>1012</v>
      </c>
      <c r="B116" s="865" t="s">
        <v>1211</v>
      </c>
      <c r="C116" s="865" t="s">
        <v>1400</v>
      </c>
      <c r="D116" s="866" t="s">
        <v>2144</v>
      </c>
      <c r="E116" s="865" t="s">
        <v>2896</v>
      </c>
      <c r="F116" s="862">
        <v>115</v>
      </c>
    </row>
    <row r="117" spans="1:6" ht="136.80000000000001" x14ac:dyDescent="0.25">
      <c r="A117" s="864" t="s">
        <v>1013</v>
      </c>
      <c r="B117" s="865" t="s">
        <v>493</v>
      </c>
      <c r="C117" s="865" t="s">
        <v>1399</v>
      </c>
      <c r="D117" s="866" t="s">
        <v>2143</v>
      </c>
      <c r="E117" s="865" t="s">
        <v>2897</v>
      </c>
      <c r="F117" s="865">
        <v>116</v>
      </c>
    </row>
    <row r="118" spans="1:6" ht="34.200000000000003" x14ac:dyDescent="0.25">
      <c r="A118" s="864" t="s">
        <v>1014</v>
      </c>
      <c r="B118" s="865" t="s">
        <v>1212</v>
      </c>
      <c r="C118" s="865" t="s">
        <v>1401</v>
      </c>
      <c r="D118" s="866" t="s">
        <v>2145</v>
      </c>
      <c r="E118" s="865" t="s">
        <v>2898</v>
      </c>
      <c r="F118" s="862">
        <v>117</v>
      </c>
    </row>
    <row r="119" spans="1:6" x14ac:dyDescent="0.25">
      <c r="A119" s="864" t="s">
        <v>48</v>
      </c>
      <c r="B119" s="865" t="s">
        <v>1055</v>
      </c>
      <c r="C119" s="865" t="s">
        <v>3313</v>
      </c>
      <c r="D119" s="866" t="s">
        <v>2146</v>
      </c>
      <c r="F119" s="865">
        <v>118</v>
      </c>
    </row>
    <row r="120" spans="1:6" ht="79.8" x14ac:dyDescent="0.25">
      <c r="A120" s="864" t="s">
        <v>422</v>
      </c>
      <c r="B120" s="865" t="s">
        <v>1239</v>
      </c>
      <c r="C120" s="865" t="s">
        <v>3314</v>
      </c>
      <c r="D120" s="866" t="s">
        <v>2147</v>
      </c>
      <c r="F120" s="862">
        <v>119</v>
      </c>
    </row>
    <row r="121" spans="1:6" x14ac:dyDescent="0.25">
      <c r="A121" s="864" t="s">
        <v>50</v>
      </c>
      <c r="B121" s="865" t="s">
        <v>423</v>
      </c>
      <c r="C121" s="865" t="s">
        <v>3315</v>
      </c>
      <c r="D121" s="866" t="s">
        <v>2148</v>
      </c>
      <c r="F121" s="865">
        <v>120</v>
      </c>
    </row>
    <row r="122" spans="1:6" ht="79.8" x14ac:dyDescent="0.25">
      <c r="A122" s="864" t="s">
        <v>424</v>
      </c>
      <c r="B122" s="865" t="s">
        <v>1240</v>
      </c>
      <c r="C122" s="865" t="s">
        <v>3316</v>
      </c>
      <c r="D122" s="866" t="s">
        <v>2149</v>
      </c>
      <c r="F122" s="862">
        <v>121</v>
      </c>
    </row>
    <row r="123" spans="1:6" s="871" customFormat="1" ht="273.60000000000002" x14ac:dyDescent="0.25">
      <c r="A123" s="864" t="s">
        <v>86</v>
      </c>
      <c r="B123" s="865" t="s">
        <v>2696</v>
      </c>
      <c r="C123" s="865" t="s">
        <v>3191</v>
      </c>
      <c r="D123" s="866" t="s">
        <v>2150</v>
      </c>
      <c r="E123" s="865" t="s">
        <v>2899</v>
      </c>
      <c r="F123" s="865">
        <v>122</v>
      </c>
    </row>
    <row r="124" spans="1:6" ht="239.4" x14ac:dyDescent="0.25">
      <c r="A124" s="864" t="s">
        <v>88</v>
      </c>
      <c r="B124" s="865" t="s">
        <v>1056</v>
      </c>
      <c r="C124" s="865" t="s">
        <v>1890</v>
      </c>
      <c r="D124" s="866" t="s">
        <v>2151</v>
      </c>
      <c r="E124" s="865" t="s">
        <v>2900</v>
      </c>
      <c r="F124" s="862">
        <v>123</v>
      </c>
    </row>
    <row r="125" spans="1:6" ht="148.19999999999999" x14ac:dyDescent="0.25">
      <c r="A125" s="864" t="s">
        <v>89</v>
      </c>
      <c r="B125" s="865" t="s">
        <v>1057</v>
      </c>
      <c r="C125" s="865" t="s">
        <v>1297</v>
      </c>
      <c r="D125" s="866" t="s">
        <v>2153</v>
      </c>
      <c r="E125" s="865" t="s">
        <v>2901</v>
      </c>
      <c r="F125" s="865">
        <v>124</v>
      </c>
    </row>
    <row r="126" spans="1:6" ht="91.2" x14ac:dyDescent="0.25">
      <c r="A126" s="864" t="s">
        <v>91</v>
      </c>
      <c r="B126" s="865" t="s">
        <v>2697</v>
      </c>
      <c r="C126" s="865" t="s">
        <v>3192</v>
      </c>
      <c r="D126" s="866" t="s">
        <v>3382</v>
      </c>
      <c r="E126" s="865" t="s">
        <v>2902</v>
      </c>
      <c r="F126" s="862">
        <v>125</v>
      </c>
    </row>
    <row r="127" spans="1:6" ht="102.6" x14ac:dyDescent="0.25">
      <c r="A127" s="864" t="s">
        <v>93</v>
      </c>
      <c r="B127" s="865" t="s">
        <v>2698</v>
      </c>
      <c r="C127" s="865" t="s">
        <v>1296</v>
      </c>
      <c r="D127" s="866" t="s">
        <v>2152</v>
      </c>
      <c r="E127" s="865" t="s">
        <v>2903</v>
      </c>
      <c r="F127" s="865">
        <v>126</v>
      </c>
    </row>
    <row r="128" spans="1:6" ht="262.2" x14ac:dyDescent="0.25">
      <c r="A128" s="864" t="s">
        <v>95</v>
      </c>
      <c r="B128" s="865" t="s">
        <v>2699</v>
      </c>
      <c r="C128" s="865" t="s">
        <v>3193</v>
      </c>
      <c r="D128" s="866" t="s">
        <v>3383</v>
      </c>
      <c r="E128" s="865" t="s">
        <v>2904</v>
      </c>
      <c r="F128" s="862">
        <v>127</v>
      </c>
    </row>
    <row r="129" spans="1:6" ht="102.6" x14ac:dyDescent="0.25">
      <c r="A129" s="864" t="s">
        <v>939</v>
      </c>
      <c r="B129" s="865" t="s">
        <v>1058</v>
      </c>
      <c r="C129" s="865" t="s">
        <v>1298</v>
      </c>
      <c r="D129" s="866" t="s">
        <v>2154</v>
      </c>
      <c r="E129" s="865" t="s">
        <v>2905</v>
      </c>
      <c r="F129" s="865">
        <v>128</v>
      </c>
    </row>
    <row r="130" spans="1:6" ht="91.2" x14ac:dyDescent="0.25">
      <c r="A130" s="864" t="s">
        <v>940</v>
      </c>
      <c r="B130" s="865" t="s">
        <v>1059</v>
      </c>
      <c r="C130" s="865" t="s">
        <v>3194</v>
      </c>
      <c r="D130" s="866" t="s">
        <v>3384</v>
      </c>
      <c r="E130" s="865" t="s">
        <v>2906</v>
      </c>
      <c r="F130" s="862">
        <v>129</v>
      </c>
    </row>
    <row r="131" spans="1:6" x14ac:dyDescent="0.25">
      <c r="A131" s="864" t="s">
        <v>52</v>
      </c>
      <c r="B131" s="865" t="s">
        <v>425</v>
      </c>
      <c r="C131" s="865" t="s">
        <v>3317</v>
      </c>
      <c r="D131" s="866" t="s">
        <v>2155</v>
      </c>
      <c r="F131" s="865">
        <v>130</v>
      </c>
    </row>
    <row r="132" spans="1:6" ht="57" x14ac:dyDescent="0.25">
      <c r="A132" s="864" t="s">
        <v>426</v>
      </c>
      <c r="B132" s="865" t="s">
        <v>1240</v>
      </c>
      <c r="C132" s="865" t="s">
        <v>3318</v>
      </c>
      <c r="D132" s="866" t="s">
        <v>2156</v>
      </c>
      <c r="F132" s="862">
        <v>131</v>
      </c>
    </row>
    <row r="133" spans="1:6" ht="296.39999999999998" x14ac:dyDescent="0.25">
      <c r="A133" s="864" t="s">
        <v>97</v>
      </c>
      <c r="B133" s="865" t="s">
        <v>2700</v>
      </c>
      <c r="C133" s="865" t="s">
        <v>1891</v>
      </c>
      <c r="D133" s="866" t="s">
        <v>2157</v>
      </c>
      <c r="E133" s="865" t="s">
        <v>2907</v>
      </c>
      <c r="F133" s="865">
        <v>132</v>
      </c>
    </row>
    <row r="134" spans="1:6" s="873" customFormat="1" ht="114" x14ac:dyDescent="0.2">
      <c r="A134" s="861" t="s">
        <v>98</v>
      </c>
      <c r="B134" s="862" t="s">
        <v>1060</v>
      </c>
      <c r="C134" s="862" t="s">
        <v>1892</v>
      </c>
      <c r="D134" s="863" t="s">
        <v>2158</v>
      </c>
      <c r="E134" s="865" t="s">
        <v>2908</v>
      </c>
      <c r="F134" s="862">
        <v>133</v>
      </c>
    </row>
    <row r="135" spans="1:6" s="874" customFormat="1" ht="193.8" x14ac:dyDescent="0.2">
      <c r="A135" s="864" t="s">
        <v>99</v>
      </c>
      <c r="B135" s="865" t="s">
        <v>2701</v>
      </c>
      <c r="C135" s="865" t="s">
        <v>1299</v>
      </c>
      <c r="D135" s="866" t="s">
        <v>2159</v>
      </c>
      <c r="E135" s="865" t="s">
        <v>2909</v>
      </c>
      <c r="F135" s="865">
        <v>134</v>
      </c>
    </row>
    <row r="136" spans="1:6" ht="79.8" x14ac:dyDescent="0.25">
      <c r="A136" s="864" t="s">
        <v>100</v>
      </c>
      <c r="B136" s="865" t="s">
        <v>2702</v>
      </c>
      <c r="C136" s="865" t="s">
        <v>3195</v>
      </c>
      <c r="D136" s="866" t="s">
        <v>3385</v>
      </c>
      <c r="E136" s="865" t="s">
        <v>2910</v>
      </c>
      <c r="F136" s="862">
        <v>135</v>
      </c>
    </row>
    <row r="137" spans="1:6" ht="91.2" x14ac:dyDescent="0.25">
      <c r="A137" s="864" t="s">
        <v>101</v>
      </c>
      <c r="B137" s="865" t="s">
        <v>2703</v>
      </c>
      <c r="C137" s="865" t="s">
        <v>3196</v>
      </c>
      <c r="D137" s="866" t="s">
        <v>3386</v>
      </c>
      <c r="E137" s="865" t="s">
        <v>2911</v>
      </c>
      <c r="F137" s="865">
        <v>136</v>
      </c>
    </row>
    <row r="138" spans="1:6" ht="125.4" x14ac:dyDescent="0.25">
      <c r="A138" s="864" t="s">
        <v>102</v>
      </c>
      <c r="B138" s="865" t="s">
        <v>2704</v>
      </c>
      <c r="C138" s="865" t="s">
        <v>3197</v>
      </c>
      <c r="D138" s="866" t="s">
        <v>3387</v>
      </c>
      <c r="E138" s="865" t="s">
        <v>2912</v>
      </c>
      <c r="F138" s="862">
        <v>137</v>
      </c>
    </row>
    <row r="139" spans="1:6" ht="91.2" x14ac:dyDescent="0.25">
      <c r="A139" s="864" t="s">
        <v>942</v>
      </c>
      <c r="B139" s="865" t="s">
        <v>1061</v>
      </c>
      <c r="C139" s="865" t="s">
        <v>1298</v>
      </c>
      <c r="D139" s="866" t="s">
        <v>2154</v>
      </c>
      <c r="E139" s="865" t="s">
        <v>2913</v>
      </c>
      <c r="F139" s="865">
        <v>138</v>
      </c>
    </row>
    <row r="140" spans="1:6" ht="79.8" x14ac:dyDescent="0.25">
      <c r="A140" s="864" t="s">
        <v>943</v>
      </c>
      <c r="B140" s="865" t="s">
        <v>2705</v>
      </c>
      <c r="C140" s="865" t="s">
        <v>3198</v>
      </c>
      <c r="D140" s="866" t="s">
        <v>3388</v>
      </c>
      <c r="E140" s="865" t="s">
        <v>2914</v>
      </c>
      <c r="F140" s="862">
        <v>139</v>
      </c>
    </row>
    <row r="141" spans="1:6" x14ac:dyDescent="0.25">
      <c r="A141" s="864" t="s">
        <v>54</v>
      </c>
      <c r="B141" s="865" t="s">
        <v>427</v>
      </c>
      <c r="C141" s="865" t="s">
        <v>1271</v>
      </c>
      <c r="D141" s="866" t="s">
        <v>2160</v>
      </c>
      <c r="F141" s="865">
        <v>140</v>
      </c>
    </row>
    <row r="142" spans="1:6" s="871" customFormat="1" ht="91.2" x14ac:dyDescent="0.25">
      <c r="A142" s="861" t="s">
        <v>428</v>
      </c>
      <c r="B142" s="862" t="s">
        <v>1241</v>
      </c>
      <c r="C142" s="862" t="s">
        <v>1983</v>
      </c>
      <c r="D142" s="863" t="s">
        <v>2161</v>
      </c>
      <c r="E142" s="865"/>
      <c r="F142" s="862">
        <v>141</v>
      </c>
    </row>
    <row r="143" spans="1:6" ht="125.4" x14ac:dyDescent="0.25">
      <c r="A143" s="864" t="s">
        <v>105</v>
      </c>
      <c r="B143" s="865" t="s">
        <v>1062</v>
      </c>
      <c r="C143" s="865" t="s">
        <v>1893</v>
      </c>
      <c r="D143" s="866" t="s">
        <v>2162</v>
      </c>
      <c r="E143" s="865" t="s">
        <v>2915</v>
      </c>
      <c r="F143" s="865">
        <v>142</v>
      </c>
    </row>
    <row r="144" spans="1:6" ht="68.400000000000006" x14ac:dyDescent="0.25">
      <c r="A144" s="864" t="s">
        <v>107</v>
      </c>
      <c r="B144" s="865" t="s">
        <v>1063</v>
      </c>
      <c r="C144" s="865" t="s">
        <v>1300</v>
      </c>
      <c r="D144" s="866" t="s">
        <v>2163</v>
      </c>
      <c r="E144" s="865" t="s">
        <v>2916</v>
      </c>
      <c r="F144" s="862">
        <v>143</v>
      </c>
    </row>
    <row r="145" spans="1:6" ht="114" x14ac:dyDescent="0.25">
      <c r="A145" s="864" t="s">
        <v>109</v>
      </c>
      <c r="B145" s="865" t="s">
        <v>2706</v>
      </c>
      <c r="C145" s="865" t="s">
        <v>3199</v>
      </c>
      <c r="D145" s="866" t="s">
        <v>3389</v>
      </c>
      <c r="E145" s="865" t="s">
        <v>2917</v>
      </c>
      <c r="F145" s="865">
        <v>144</v>
      </c>
    </row>
    <row r="146" spans="1:6" ht="68.400000000000006" x14ac:dyDescent="0.25">
      <c r="A146" s="864" t="s">
        <v>111</v>
      </c>
      <c r="B146" s="865" t="s">
        <v>1064</v>
      </c>
      <c r="C146" s="865" t="s">
        <v>3200</v>
      </c>
      <c r="D146" s="866" t="s">
        <v>3390</v>
      </c>
      <c r="E146" s="865" t="s">
        <v>2918</v>
      </c>
      <c r="F146" s="862">
        <v>145</v>
      </c>
    </row>
    <row r="147" spans="1:6" ht="159.6" x14ac:dyDescent="0.25">
      <c r="A147" s="864" t="s">
        <v>113</v>
      </c>
      <c r="B147" s="865" t="s">
        <v>429</v>
      </c>
      <c r="C147" s="865" t="s">
        <v>1301</v>
      </c>
      <c r="D147" s="866" t="s">
        <v>2164</v>
      </c>
      <c r="E147" s="865" t="s">
        <v>2919</v>
      </c>
      <c r="F147" s="865">
        <v>146</v>
      </c>
    </row>
    <row r="148" spans="1:6" x14ac:dyDescent="0.25">
      <c r="A148" s="864" t="s">
        <v>55</v>
      </c>
      <c r="B148" s="865" t="s">
        <v>430</v>
      </c>
      <c r="C148" s="865" t="s">
        <v>1272</v>
      </c>
      <c r="D148" s="866" t="s">
        <v>2165</v>
      </c>
      <c r="F148" s="862">
        <v>147</v>
      </c>
    </row>
    <row r="149" spans="1:6" ht="79.8" x14ac:dyDescent="0.25">
      <c r="A149" s="864" t="s">
        <v>431</v>
      </c>
      <c r="B149" s="865" t="s">
        <v>1242</v>
      </c>
      <c r="C149" s="865" t="s">
        <v>1273</v>
      </c>
      <c r="D149" s="866" t="s">
        <v>2166</v>
      </c>
      <c r="F149" s="865">
        <v>148</v>
      </c>
    </row>
    <row r="150" spans="1:6" s="871" customFormat="1" ht="91.2" x14ac:dyDescent="0.25">
      <c r="A150" s="861" t="s">
        <v>116</v>
      </c>
      <c r="B150" s="862" t="s">
        <v>2707</v>
      </c>
      <c r="C150" s="862" t="s">
        <v>3201</v>
      </c>
      <c r="D150" s="863" t="s">
        <v>3391</v>
      </c>
      <c r="E150" s="865" t="s">
        <v>2920</v>
      </c>
      <c r="F150" s="862">
        <v>149</v>
      </c>
    </row>
    <row r="151" spans="1:6" ht="91.2" x14ac:dyDescent="0.25">
      <c r="A151" s="864" t="s">
        <v>119</v>
      </c>
      <c r="B151" s="865" t="s">
        <v>2708</v>
      </c>
      <c r="C151" s="865" t="s">
        <v>3202</v>
      </c>
      <c r="D151" s="866" t="s">
        <v>3392</v>
      </c>
      <c r="E151" s="865" t="s">
        <v>2921</v>
      </c>
      <c r="F151" s="865">
        <v>150</v>
      </c>
    </row>
    <row r="152" spans="1:6" ht="79.8" x14ac:dyDescent="0.25">
      <c r="A152" s="864" t="s">
        <v>122</v>
      </c>
      <c r="B152" s="865" t="s">
        <v>2709</v>
      </c>
      <c r="C152" s="865" t="s">
        <v>3203</v>
      </c>
      <c r="D152" s="866" t="s">
        <v>3393</v>
      </c>
      <c r="E152" s="865" t="s">
        <v>2922</v>
      </c>
      <c r="F152" s="862">
        <v>151</v>
      </c>
    </row>
    <row r="153" spans="1:6" ht="102.6" x14ac:dyDescent="0.25">
      <c r="A153" s="864" t="s">
        <v>125</v>
      </c>
      <c r="B153" s="865" t="s">
        <v>2710</v>
      </c>
      <c r="C153" s="865" t="s">
        <v>3204</v>
      </c>
      <c r="D153" s="866" t="s">
        <v>3394</v>
      </c>
      <c r="E153" s="865" t="s">
        <v>2923</v>
      </c>
      <c r="F153" s="865">
        <v>152</v>
      </c>
    </row>
    <row r="154" spans="1:6" ht="68.400000000000006" x14ac:dyDescent="0.25">
      <c r="A154" s="864" t="s">
        <v>128</v>
      </c>
      <c r="B154" s="865" t="s">
        <v>2711</v>
      </c>
      <c r="C154" s="865" t="s">
        <v>3205</v>
      </c>
      <c r="D154" s="866" t="s">
        <v>3395</v>
      </c>
      <c r="E154" s="865" t="s">
        <v>2924</v>
      </c>
      <c r="F154" s="862">
        <v>153</v>
      </c>
    </row>
    <row r="155" spans="1:6" s="874" customFormat="1" ht="91.2" x14ac:dyDescent="0.2">
      <c r="A155" s="864" t="s">
        <v>130</v>
      </c>
      <c r="B155" s="865" t="s">
        <v>2712</v>
      </c>
      <c r="C155" s="865" t="s">
        <v>3206</v>
      </c>
      <c r="D155" s="866" t="s">
        <v>3396</v>
      </c>
      <c r="E155" s="865" t="s">
        <v>2925</v>
      </c>
      <c r="F155" s="865">
        <v>154</v>
      </c>
    </row>
    <row r="156" spans="1:6" ht="91.2" x14ac:dyDescent="0.25">
      <c r="A156" s="864" t="s">
        <v>2614</v>
      </c>
      <c r="B156" s="865" t="s">
        <v>1065</v>
      </c>
      <c r="C156" s="865" t="s">
        <v>1302</v>
      </c>
      <c r="D156" s="866" t="s">
        <v>2167</v>
      </c>
      <c r="E156" s="865" t="s">
        <v>2926</v>
      </c>
      <c r="F156" s="862">
        <v>155</v>
      </c>
    </row>
    <row r="157" spans="1:6" ht="102.6" x14ac:dyDescent="0.25">
      <c r="A157" s="864" t="s">
        <v>2615</v>
      </c>
      <c r="B157" s="865" t="s">
        <v>2713</v>
      </c>
      <c r="C157" s="865" t="s">
        <v>3207</v>
      </c>
      <c r="D157" s="866" t="s">
        <v>3397</v>
      </c>
      <c r="E157" s="865" t="s">
        <v>2927</v>
      </c>
      <c r="F157" s="865">
        <v>156</v>
      </c>
    </row>
    <row r="158" spans="1:6" s="871" customFormat="1" ht="91.2" x14ac:dyDescent="0.25">
      <c r="A158" s="861" t="s">
        <v>2616</v>
      </c>
      <c r="B158" s="862" t="s">
        <v>2714</v>
      </c>
      <c r="C158" s="862" t="s">
        <v>1984</v>
      </c>
      <c r="D158" s="863" t="s">
        <v>2168</v>
      </c>
      <c r="E158" s="865" t="s">
        <v>2928</v>
      </c>
      <c r="F158" s="862">
        <v>157</v>
      </c>
    </row>
    <row r="159" spans="1:6" s="871" customFormat="1" x14ac:dyDescent="0.25">
      <c r="A159" s="861" t="s">
        <v>57</v>
      </c>
      <c r="B159" s="862" t="s">
        <v>397</v>
      </c>
      <c r="C159" s="862" t="s">
        <v>708</v>
      </c>
      <c r="D159" s="863" t="s">
        <v>2087</v>
      </c>
      <c r="E159" s="865"/>
      <c r="F159" s="865">
        <v>158</v>
      </c>
    </row>
    <row r="160" spans="1:6" ht="68.400000000000006" x14ac:dyDescent="0.25">
      <c r="A160" s="864" t="s">
        <v>432</v>
      </c>
      <c r="B160" s="865" t="s">
        <v>399</v>
      </c>
      <c r="C160" s="865" t="s">
        <v>835</v>
      </c>
      <c r="D160" s="866" t="s">
        <v>2088</v>
      </c>
      <c r="F160" s="862">
        <v>159</v>
      </c>
    </row>
    <row r="161" spans="1:6" ht="79.8" x14ac:dyDescent="0.25">
      <c r="A161" s="864" t="s">
        <v>133</v>
      </c>
      <c r="B161" s="865" t="s">
        <v>1066</v>
      </c>
      <c r="C161" s="865" t="s">
        <v>1303</v>
      </c>
      <c r="D161" s="866" t="s">
        <v>2169</v>
      </c>
      <c r="E161" s="865" t="s">
        <v>2929</v>
      </c>
      <c r="F161" s="865">
        <v>160</v>
      </c>
    </row>
    <row r="162" spans="1:6" ht="193.8" x14ac:dyDescent="0.25">
      <c r="A162" s="864" t="s">
        <v>136</v>
      </c>
      <c r="B162" s="865" t="s">
        <v>433</v>
      </c>
      <c r="C162" s="865" t="s">
        <v>1304</v>
      </c>
      <c r="D162" s="866" t="s">
        <v>2170</v>
      </c>
      <c r="E162" s="865" t="s">
        <v>2930</v>
      </c>
      <c r="F162" s="862">
        <v>161</v>
      </c>
    </row>
    <row r="163" spans="1:6" ht="148.19999999999999" x14ac:dyDescent="0.25">
      <c r="A163" s="864" t="s">
        <v>139</v>
      </c>
      <c r="B163" s="865" t="s">
        <v>1067</v>
      </c>
      <c r="C163" s="865" t="s">
        <v>1985</v>
      </c>
      <c r="D163" s="866" t="s">
        <v>2171</v>
      </c>
      <c r="E163" s="865" t="s">
        <v>2931</v>
      </c>
      <c r="F163" s="865">
        <v>162</v>
      </c>
    </row>
    <row r="164" spans="1:6" ht="125.4" x14ac:dyDescent="0.25">
      <c r="A164" s="864" t="s">
        <v>141</v>
      </c>
      <c r="B164" s="865" t="s">
        <v>1068</v>
      </c>
      <c r="C164" s="865" t="s">
        <v>1306</v>
      </c>
      <c r="D164" s="866" t="s">
        <v>2173</v>
      </c>
      <c r="E164" s="865" t="s">
        <v>2932</v>
      </c>
      <c r="F164" s="862">
        <v>163</v>
      </c>
    </row>
    <row r="165" spans="1:6" ht="125.4" x14ac:dyDescent="0.25">
      <c r="A165" s="864" t="s">
        <v>143</v>
      </c>
      <c r="B165" s="865" t="s">
        <v>434</v>
      </c>
      <c r="C165" s="865" t="s">
        <v>1305</v>
      </c>
      <c r="D165" s="866" t="s">
        <v>2172</v>
      </c>
      <c r="E165" s="865" t="s">
        <v>2933</v>
      </c>
      <c r="F165" s="865">
        <v>164</v>
      </c>
    </row>
    <row r="166" spans="1:6" ht="34.200000000000003" x14ac:dyDescent="0.25">
      <c r="A166" s="864" t="s">
        <v>145</v>
      </c>
      <c r="B166" s="865" t="s">
        <v>1069</v>
      </c>
      <c r="C166" s="865" t="s">
        <v>1307</v>
      </c>
      <c r="D166" s="866" t="s">
        <v>2174</v>
      </c>
      <c r="E166" s="865" t="s">
        <v>2934</v>
      </c>
      <c r="F166" s="862">
        <v>165</v>
      </c>
    </row>
    <row r="167" spans="1:6" s="874" customFormat="1" x14ac:dyDescent="0.2">
      <c r="A167" s="864" t="s">
        <v>56</v>
      </c>
      <c r="B167" s="865" t="s">
        <v>586</v>
      </c>
      <c r="C167" s="865" t="s">
        <v>1460</v>
      </c>
      <c r="D167" s="866" t="s">
        <v>2175</v>
      </c>
      <c r="E167" s="865"/>
      <c r="F167" s="865">
        <v>166</v>
      </c>
    </row>
    <row r="168" spans="1:6" s="871" customFormat="1" ht="22.8" x14ac:dyDescent="0.25">
      <c r="A168" s="864" t="s">
        <v>613</v>
      </c>
      <c r="B168" s="865" t="s">
        <v>743</v>
      </c>
      <c r="C168" s="865" t="s">
        <v>745</v>
      </c>
      <c r="D168" s="866" t="s">
        <v>2176</v>
      </c>
      <c r="E168" s="865"/>
      <c r="F168" s="862">
        <v>167</v>
      </c>
    </row>
    <row r="169" spans="1:6" x14ac:dyDescent="0.25">
      <c r="A169" s="864" t="s">
        <v>147</v>
      </c>
      <c r="B169" s="865" t="s">
        <v>447</v>
      </c>
      <c r="C169" s="865" t="s">
        <v>421</v>
      </c>
      <c r="D169" s="866" t="s">
        <v>2177</v>
      </c>
      <c r="F169" s="865">
        <v>168</v>
      </c>
    </row>
    <row r="170" spans="1:6" ht="45.6" x14ac:dyDescent="0.25">
      <c r="A170" s="861" t="s">
        <v>614</v>
      </c>
      <c r="B170" s="862" t="s">
        <v>744</v>
      </c>
      <c r="C170" s="862" t="s">
        <v>746</v>
      </c>
      <c r="D170" s="863" t="s">
        <v>2178</v>
      </c>
      <c r="F170" s="862">
        <v>169</v>
      </c>
    </row>
    <row r="171" spans="1:6" ht="22.8" x14ac:dyDescent="0.25">
      <c r="A171" s="864" t="s">
        <v>362</v>
      </c>
      <c r="B171" s="865" t="s">
        <v>448</v>
      </c>
      <c r="C171" s="865" t="s">
        <v>587</v>
      </c>
      <c r="D171" s="866" t="s">
        <v>2179</v>
      </c>
      <c r="F171" s="865">
        <v>170</v>
      </c>
    </row>
    <row r="172" spans="1:6" ht="22.8" x14ac:dyDescent="0.25">
      <c r="A172" s="864" t="s">
        <v>363</v>
      </c>
      <c r="B172" s="865" t="s">
        <v>449</v>
      </c>
      <c r="C172" s="865" t="s">
        <v>748</v>
      </c>
      <c r="D172" s="866" t="s">
        <v>2180</v>
      </c>
      <c r="F172" s="862">
        <v>171</v>
      </c>
    </row>
    <row r="173" spans="1:6" ht="22.8" x14ac:dyDescent="0.25">
      <c r="A173" s="864" t="s">
        <v>364</v>
      </c>
      <c r="B173" s="865" t="s">
        <v>450</v>
      </c>
      <c r="C173" s="865" t="s">
        <v>749</v>
      </c>
      <c r="D173" s="866" t="s">
        <v>2181</v>
      </c>
      <c r="F173" s="865">
        <v>172</v>
      </c>
    </row>
    <row r="174" spans="1:6" ht="22.8" x14ac:dyDescent="0.25">
      <c r="A174" s="864" t="s">
        <v>365</v>
      </c>
      <c r="B174" s="865" t="s">
        <v>451</v>
      </c>
      <c r="C174" s="865" t="s">
        <v>750</v>
      </c>
      <c r="D174" s="866" t="s">
        <v>2182</v>
      </c>
      <c r="F174" s="862">
        <v>173</v>
      </c>
    </row>
    <row r="175" spans="1:6" ht="22.8" x14ac:dyDescent="0.25">
      <c r="A175" s="864" t="s">
        <v>366</v>
      </c>
      <c r="B175" s="865" t="s">
        <v>452</v>
      </c>
      <c r="C175" s="865" t="s">
        <v>752</v>
      </c>
      <c r="D175" s="866" t="s">
        <v>2183</v>
      </c>
      <c r="F175" s="865">
        <v>174</v>
      </c>
    </row>
    <row r="176" spans="1:6" ht="22.8" x14ac:dyDescent="0.25">
      <c r="A176" s="864" t="s">
        <v>367</v>
      </c>
      <c r="B176" s="865" t="s">
        <v>453</v>
      </c>
      <c r="C176" s="865" t="s">
        <v>751</v>
      </c>
      <c r="D176" s="866" t="s">
        <v>2184</v>
      </c>
      <c r="F176" s="862">
        <v>175</v>
      </c>
    </row>
    <row r="177" spans="1:6" ht="45.6" x14ac:dyDescent="0.25">
      <c r="A177" s="864" t="s">
        <v>368</v>
      </c>
      <c r="B177" s="865" t="s">
        <v>454</v>
      </c>
      <c r="C177" s="865" t="s">
        <v>754</v>
      </c>
      <c r="D177" s="866" t="s">
        <v>2185</v>
      </c>
      <c r="F177" s="865">
        <v>176</v>
      </c>
    </row>
    <row r="178" spans="1:6" ht="22.8" x14ac:dyDescent="0.25">
      <c r="A178" s="864" t="s">
        <v>369</v>
      </c>
      <c r="B178" s="865" t="s">
        <v>455</v>
      </c>
      <c r="C178" s="865" t="s">
        <v>753</v>
      </c>
      <c r="D178" s="866" t="s">
        <v>2186</v>
      </c>
      <c r="F178" s="862">
        <v>177</v>
      </c>
    </row>
    <row r="179" spans="1:6" x14ac:dyDescent="0.25">
      <c r="A179" s="864" t="s">
        <v>149</v>
      </c>
      <c r="B179" s="865" t="s">
        <v>456</v>
      </c>
      <c r="C179" s="865" t="s">
        <v>457</v>
      </c>
      <c r="D179" s="866" t="s">
        <v>2187</v>
      </c>
      <c r="F179" s="865">
        <v>178</v>
      </c>
    </row>
    <row r="180" spans="1:6" s="874" customFormat="1" ht="68.400000000000006" x14ac:dyDescent="0.2">
      <c r="A180" s="864" t="s">
        <v>615</v>
      </c>
      <c r="B180" s="865" t="s">
        <v>458</v>
      </c>
      <c r="C180" s="865" t="s">
        <v>2029</v>
      </c>
      <c r="D180" s="866" t="s">
        <v>2188</v>
      </c>
      <c r="E180" s="865"/>
      <c r="F180" s="862">
        <v>179</v>
      </c>
    </row>
    <row r="181" spans="1:6" s="871" customFormat="1" ht="34.200000000000003" x14ac:dyDescent="0.25">
      <c r="A181" s="864" t="s">
        <v>370</v>
      </c>
      <c r="B181" s="865" t="s">
        <v>459</v>
      </c>
      <c r="C181" s="865" t="s">
        <v>755</v>
      </c>
      <c r="D181" s="866" t="s">
        <v>2189</v>
      </c>
      <c r="E181" s="865"/>
      <c r="F181" s="865">
        <v>180</v>
      </c>
    </row>
    <row r="182" spans="1:6" ht="34.200000000000003" x14ac:dyDescent="0.25">
      <c r="A182" s="864" t="s">
        <v>371</v>
      </c>
      <c r="B182" s="865" t="s">
        <v>460</v>
      </c>
      <c r="C182" s="865" t="s">
        <v>756</v>
      </c>
      <c r="D182" s="866" t="s">
        <v>2190</v>
      </c>
      <c r="F182" s="862">
        <v>181</v>
      </c>
    </row>
    <row r="183" spans="1:6" ht="68.400000000000006" x14ac:dyDescent="0.25">
      <c r="A183" s="861" t="s">
        <v>372</v>
      </c>
      <c r="B183" s="862" t="s">
        <v>461</v>
      </c>
      <c r="C183" s="862" t="s">
        <v>836</v>
      </c>
      <c r="D183" s="863" t="s">
        <v>2191</v>
      </c>
      <c r="F183" s="865">
        <v>182</v>
      </c>
    </row>
    <row r="184" spans="1:6" ht="45.6" x14ac:dyDescent="0.25">
      <c r="A184" s="864" t="s">
        <v>373</v>
      </c>
      <c r="B184" s="865" t="s">
        <v>462</v>
      </c>
      <c r="C184" s="865" t="s">
        <v>770</v>
      </c>
      <c r="D184" s="866" t="s">
        <v>2192</v>
      </c>
      <c r="F184" s="862">
        <v>183</v>
      </c>
    </row>
    <row r="185" spans="1:6" ht="45.6" x14ac:dyDescent="0.25">
      <c r="A185" s="864" t="s">
        <v>374</v>
      </c>
      <c r="B185" s="865" t="s">
        <v>463</v>
      </c>
      <c r="C185" s="865" t="s">
        <v>757</v>
      </c>
      <c r="D185" s="866" t="s">
        <v>2193</v>
      </c>
      <c r="F185" s="865">
        <v>184</v>
      </c>
    </row>
    <row r="186" spans="1:6" ht="34.200000000000003" x14ac:dyDescent="0.25">
      <c r="A186" s="864" t="s">
        <v>375</v>
      </c>
      <c r="B186" s="865" t="s">
        <v>464</v>
      </c>
      <c r="C186" s="865" t="s">
        <v>758</v>
      </c>
      <c r="D186" s="866" t="s">
        <v>2194</v>
      </c>
      <c r="F186" s="862">
        <v>185</v>
      </c>
    </row>
    <row r="187" spans="1:6" ht="22.8" x14ac:dyDescent="0.25">
      <c r="A187" s="864" t="s">
        <v>376</v>
      </c>
      <c r="B187" s="865" t="s">
        <v>465</v>
      </c>
      <c r="C187" s="865" t="s">
        <v>747</v>
      </c>
      <c r="D187" s="866" t="s">
        <v>2195</v>
      </c>
      <c r="F187" s="865">
        <v>186</v>
      </c>
    </row>
    <row r="188" spans="1:6" s="871" customFormat="1" ht="57" x14ac:dyDescent="0.25">
      <c r="A188" s="864" t="s">
        <v>377</v>
      </c>
      <c r="B188" s="865" t="s">
        <v>466</v>
      </c>
      <c r="C188" s="865" t="s">
        <v>759</v>
      </c>
      <c r="D188" s="866" t="s">
        <v>2196</v>
      </c>
      <c r="E188" s="865"/>
      <c r="F188" s="862">
        <v>187</v>
      </c>
    </row>
    <row r="189" spans="1:6" s="871" customFormat="1" ht="34.200000000000003" x14ac:dyDescent="0.25">
      <c r="A189" s="864" t="s">
        <v>378</v>
      </c>
      <c r="B189" s="865" t="s">
        <v>467</v>
      </c>
      <c r="C189" s="865" t="s">
        <v>771</v>
      </c>
      <c r="D189" s="866" t="s">
        <v>2197</v>
      </c>
      <c r="E189" s="865"/>
      <c r="F189" s="865">
        <v>188</v>
      </c>
    </row>
    <row r="190" spans="1:6" ht="22.8" x14ac:dyDescent="0.25">
      <c r="A190" s="864" t="s">
        <v>379</v>
      </c>
      <c r="B190" s="865" t="s">
        <v>468</v>
      </c>
      <c r="C190" s="865" t="s">
        <v>837</v>
      </c>
      <c r="D190" s="866" t="s">
        <v>2198</v>
      </c>
      <c r="F190" s="862">
        <v>189</v>
      </c>
    </row>
    <row r="191" spans="1:6" ht="34.200000000000003" x14ac:dyDescent="0.25">
      <c r="A191" s="864" t="s">
        <v>380</v>
      </c>
      <c r="B191" s="865" t="s">
        <v>469</v>
      </c>
      <c r="C191" s="865" t="s">
        <v>761</v>
      </c>
      <c r="D191" s="866" t="s">
        <v>2199</v>
      </c>
      <c r="F191" s="865">
        <v>190</v>
      </c>
    </row>
    <row r="192" spans="1:6" s="874" customFormat="1" x14ac:dyDescent="0.2">
      <c r="A192" s="864" t="s">
        <v>151</v>
      </c>
      <c r="B192" s="865" t="s">
        <v>470</v>
      </c>
      <c r="C192" s="865" t="s">
        <v>762</v>
      </c>
      <c r="D192" s="866" t="s">
        <v>2200</v>
      </c>
      <c r="E192" s="865"/>
      <c r="F192" s="862">
        <v>191</v>
      </c>
    </row>
    <row r="193" spans="1:6" ht="79.8" x14ac:dyDescent="0.25">
      <c r="A193" s="1002" t="s">
        <v>616</v>
      </c>
      <c r="B193" s="1003" t="s">
        <v>471</v>
      </c>
      <c r="C193" s="1003" t="s">
        <v>760</v>
      </c>
      <c r="D193" s="1004" t="s">
        <v>2201</v>
      </c>
      <c r="F193" s="865">
        <v>192</v>
      </c>
    </row>
    <row r="194" spans="1:6" ht="34.200000000000003" x14ac:dyDescent="0.25">
      <c r="A194" s="1002" t="s">
        <v>381</v>
      </c>
      <c r="B194" s="1003" t="s">
        <v>472</v>
      </c>
      <c r="C194" s="1003" t="s">
        <v>763</v>
      </c>
      <c r="D194" s="1004" t="s">
        <v>2202</v>
      </c>
      <c r="F194" s="862">
        <v>193</v>
      </c>
    </row>
    <row r="195" spans="1:6" ht="34.200000000000003" x14ac:dyDescent="0.25">
      <c r="A195" s="1002" t="s">
        <v>382</v>
      </c>
      <c r="B195" s="1003" t="s">
        <v>473</v>
      </c>
      <c r="C195" s="1003" t="s">
        <v>765</v>
      </c>
      <c r="D195" s="1004" t="s">
        <v>2203</v>
      </c>
      <c r="F195" s="865">
        <v>194</v>
      </c>
    </row>
    <row r="196" spans="1:6" s="871" customFormat="1" ht="22.8" x14ac:dyDescent="0.25">
      <c r="A196" s="1002" t="s">
        <v>383</v>
      </c>
      <c r="B196" s="1003" t="s">
        <v>474</v>
      </c>
      <c r="C196" s="1003" t="s">
        <v>764</v>
      </c>
      <c r="D196" s="1004" t="s">
        <v>2204</v>
      </c>
      <c r="E196" s="865"/>
      <c r="F196" s="862">
        <v>195</v>
      </c>
    </row>
    <row r="197" spans="1:6" ht="22.8" x14ac:dyDescent="0.25">
      <c r="A197" s="1002" t="s">
        <v>384</v>
      </c>
      <c r="B197" s="1003" t="s">
        <v>475</v>
      </c>
      <c r="C197" s="1003" t="s">
        <v>766</v>
      </c>
      <c r="D197" s="1004" t="s">
        <v>2205</v>
      </c>
      <c r="F197" s="865">
        <v>196</v>
      </c>
    </row>
    <row r="198" spans="1:6" ht="34.200000000000003" x14ac:dyDescent="0.25">
      <c r="A198" s="1002" t="s">
        <v>385</v>
      </c>
      <c r="B198" s="1003" t="s">
        <v>476</v>
      </c>
      <c r="C198" s="1003" t="s">
        <v>767</v>
      </c>
      <c r="D198" s="1004" t="s">
        <v>2206</v>
      </c>
      <c r="F198" s="862">
        <v>197</v>
      </c>
    </row>
    <row r="199" spans="1:6" ht="45.6" x14ac:dyDescent="0.25">
      <c r="A199" s="1002" t="s">
        <v>386</v>
      </c>
      <c r="B199" s="1003" t="s">
        <v>477</v>
      </c>
      <c r="C199" s="1003" t="s">
        <v>838</v>
      </c>
      <c r="D199" s="1004" t="s">
        <v>2207</v>
      </c>
      <c r="F199" s="865">
        <v>198</v>
      </c>
    </row>
    <row r="200" spans="1:6" ht="22.8" x14ac:dyDescent="0.25">
      <c r="A200" s="1002" t="s">
        <v>387</v>
      </c>
      <c r="B200" s="1003" t="s">
        <v>478</v>
      </c>
      <c r="C200" s="1003" t="s">
        <v>768</v>
      </c>
      <c r="D200" s="1004" t="s">
        <v>2208</v>
      </c>
      <c r="F200" s="862">
        <v>199</v>
      </c>
    </row>
    <row r="201" spans="1:6" ht="34.200000000000003" x14ac:dyDescent="0.25">
      <c r="A201" s="1002" t="s">
        <v>388</v>
      </c>
      <c r="B201" s="1003" t="s">
        <v>479</v>
      </c>
      <c r="C201" s="1003" t="s">
        <v>769</v>
      </c>
      <c r="D201" s="1004" t="s">
        <v>2209</v>
      </c>
      <c r="F201" s="865">
        <v>200</v>
      </c>
    </row>
    <row r="202" spans="1:6" x14ac:dyDescent="0.25">
      <c r="A202" s="1002" t="s">
        <v>390</v>
      </c>
      <c r="B202" s="1003" t="s">
        <v>589</v>
      </c>
      <c r="C202" s="1003" t="s">
        <v>4</v>
      </c>
      <c r="D202" s="1004" t="s">
        <v>2210</v>
      </c>
      <c r="F202" s="862">
        <v>201</v>
      </c>
    </row>
    <row r="203" spans="1:6" x14ac:dyDescent="0.25">
      <c r="A203" s="1002" t="s">
        <v>391</v>
      </c>
      <c r="B203" s="1003" t="s">
        <v>742</v>
      </c>
      <c r="C203" s="1003" t="s">
        <v>741</v>
      </c>
      <c r="D203" s="1004" t="s">
        <v>2211</v>
      </c>
      <c r="F203" s="865">
        <v>202</v>
      </c>
    </row>
    <row r="204" spans="1:6" x14ac:dyDescent="0.25">
      <c r="A204" s="1002" t="s">
        <v>392</v>
      </c>
      <c r="B204" s="1003" t="s">
        <v>588</v>
      </c>
      <c r="C204" s="1003" t="s">
        <v>2</v>
      </c>
      <c r="D204" s="1004" t="s">
        <v>2212</v>
      </c>
      <c r="F204" s="862">
        <v>203</v>
      </c>
    </row>
    <row r="205" spans="1:6" x14ac:dyDescent="0.25">
      <c r="A205" s="1002" t="s">
        <v>393</v>
      </c>
      <c r="B205" s="1003" t="s">
        <v>31</v>
      </c>
      <c r="C205" s="1003" t="s">
        <v>3</v>
      </c>
      <c r="D205" s="1004" t="s">
        <v>2213</v>
      </c>
      <c r="F205" s="865">
        <v>204</v>
      </c>
    </row>
    <row r="206" spans="1:6" s="871" customFormat="1" x14ac:dyDescent="0.25">
      <c r="A206" s="1002" t="s">
        <v>737</v>
      </c>
      <c r="B206" s="1003" t="s">
        <v>661</v>
      </c>
      <c r="C206" s="1003" t="s">
        <v>626</v>
      </c>
      <c r="D206" s="1004" t="s">
        <v>2214</v>
      </c>
      <c r="E206" s="865"/>
      <c r="F206" s="862">
        <v>205</v>
      </c>
    </row>
    <row r="207" spans="1:6" x14ac:dyDescent="0.25">
      <c r="A207" s="1002" t="s">
        <v>695</v>
      </c>
      <c r="B207" s="1003" t="s">
        <v>696</v>
      </c>
      <c r="C207" s="1003" t="s">
        <v>610</v>
      </c>
      <c r="D207" s="1004" t="s">
        <v>2215</v>
      </c>
      <c r="F207" s="865">
        <v>206</v>
      </c>
    </row>
    <row r="208" spans="1:6" x14ac:dyDescent="0.25">
      <c r="A208" s="1002" t="s">
        <v>605</v>
      </c>
      <c r="B208" s="1003" t="s">
        <v>726</v>
      </c>
      <c r="C208" s="1003" t="s">
        <v>727</v>
      </c>
      <c r="D208" s="1004" t="s">
        <v>2216</v>
      </c>
      <c r="F208" s="862">
        <v>207</v>
      </c>
    </row>
    <row r="209" spans="1:6" x14ac:dyDescent="0.25">
      <c r="A209" s="1002" t="s">
        <v>672</v>
      </c>
      <c r="B209" s="1003" t="s">
        <v>662</v>
      </c>
      <c r="C209" s="1003" t="s">
        <v>617</v>
      </c>
      <c r="D209" s="1004" t="s">
        <v>2217</v>
      </c>
      <c r="F209" s="865">
        <v>208</v>
      </c>
    </row>
    <row r="210" spans="1:6" ht="114" x14ac:dyDescent="0.25">
      <c r="A210" s="1002" t="s">
        <v>673</v>
      </c>
      <c r="B210" s="1003" t="s">
        <v>2595</v>
      </c>
      <c r="C210" s="1003" t="s">
        <v>2594</v>
      </c>
      <c r="D210" s="1004" t="s">
        <v>2218</v>
      </c>
      <c r="F210" s="862">
        <v>209</v>
      </c>
    </row>
    <row r="211" spans="1:6" x14ac:dyDescent="0.25">
      <c r="A211" s="1002" t="s">
        <v>674</v>
      </c>
      <c r="B211" s="1003" t="s">
        <v>584</v>
      </c>
      <c r="C211" s="1003" t="s">
        <v>583</v>
      </c>
      <c r="D211" s="1004" t="s">
        <v>2219</v>
      </c>
      <c r="F211" s="865">
        <v>210</v>
      </c>
    </row>
    <row r="212" spans="1:6" x14ac:dyDescent="0.25">
      <c r="A212" s="1002" t="s">
        <v>675</v>
      </c>
      <c r="B212" s="1003" t="s">
        <v>682</v>
      </c>
      <c r="C212" s="1003" t="s">
        <v>578</v>
      </c>
      <c r="D212" s="1004" t="s">
        <v>2220</v>
      </c>
      <c r="F212" s="862">
        <v>211</v>
      </c>
    </row>
    <row r="213" spans="1:6" x14ac:dyDescent="0.25">
      <c r="A213" s="1002" t="s">
        <v>676</v>
      </c>
      <c r="B213" s="1003" t="s">
        <v>683</v>
      </c>
      <c r="C213" s="1003" t="s">
        <v>579</v>
      </c>
      <c r="D213" s="1004" t="s">
        <v>2221</v>
      </c>
      <c r="F213" s="865">
        <v>212</v>
      </c>
    </row>
    <row r="214" spans="1:6" x14ac:dyDescent="0.25">
      <c r="A214" s="1002" t="s">
        <v>677</v>
      </c>
      <c r="B214" s="1003" t="s">
        <v>684</v>
      </c>
      <c r="C214" s="1003" t="s">
        <v>580</v>
      </c>
      <c r="D214" s="1004" t="s">
        <v>2222</v>
      </c>
      <c r="F214" s="862">
        <v>213</v>
      </c>
    </row>
    <row r="215" spans="1:6" x14ac:dyDescent="0.25">
      <c r="A215" s="1002" t="s">
        <v>678</v>
      </c>
      <c r="B215" s="1003" t="s">
        <v>685</v>
      </c>
      <c r="C215" s="1003" t="s">
        <v>624</v>
      </c>
      <c r="D215" s="1004" t="s">
        <v>2223</v>
      </c>
      <c r="F215" s="865">
        <v>214</v>
      </c>
    </row>
    <row r="216" spans="1:6" x14ac:dyDescent="0.25">
      <c r="A216" s="1002" t="s">
        <v>679</v>
      </c>
      <c r="B216" s="1003" t="s">
        <v>686</v>
      </c>
      <c r="C216" s="1003" t="s">
        <v>625</v>
      </c>
      <c r="D216" s="1004" t="s">
        <v>2224</v>
      </c>
      <c r="F216" s="862">
        <v>215</v>
      </c>
    </row>
    <row r="217" spans="1:6" x14ac:dyDescent="0.25">
      <c r="A217" s="1002" t="s">
        <v>680</v>
      </c>
      <c r="B217" s="1003" t="s">
        <v>687</v>
      </c>
      <c r="C217" s="1003" t="s">
        <v>581</v>
      </c>
      <c r="D217" s="1004" t="s">
        <v>687</v>
      </c>
      <c r="F217" s="865">
        <v>216</v>
      </c>
    </row>
    <row r="218" spans="1:6" s="871" customFormat="1" x14ac:dyDescent="0.25">
      <c r="A218" s="1002" t="s">
        <v>671</v>
      </c>
      <c r="B218" s="1003" t="s">
        <v>688</v>
      </c>
      <c r="C218" s="1003" t="s">
        <v>582</v>
      </c>
      <c r="D218" s="1004" t="s">
        <v>2225</v>
      </c>
      <c r="E218" s="865"/>
      <c r="F218" s="862">
        <v>217</v>
      </c>
    </row>
    <row r="219" spans="1:6" x14ac:dyDescent="0.25">
      <c r="A219" s="1002" t="s">
        <v>681</v>
      </c>
      <c r="B219" s="1003" t="s">
        <v>689</v>
      </c>
      <c r="C219" s="1003" t="s">
        <v>623</v>
      </c>
      <c r="D219" s="1004" t="s">
        <v>689</v>
      </c>
      <c r="F219" s="865">
        <v>218</v>
      </c>
    </row>
    <row r="220" spans="1:6" x14ac:dyDescent="0.25">
      <c r="A220" s="1002" t="s">
        <v>1422</v>
      </c>
      <c r="B220" s="1003" t="s">
        <v>601</v>
      </c>
      <c r="C220" s="1003" t="s">
        <v>612</v>
      </c>
      <c r="D220" s="1004" t="s">
        <v>2226</v>
      </c>
      <c r="F220" s="862">
        <v>219</v>
      </c>
    </row>
    <row r="221" spans="1:6" x14ac:dyDescent="0.25">
      <c r="A221" s="1002" t="s">
        <v>1423</v>
      </c>
      <c r="B221" s="1003" t="s">
        <v>1435</v>
      </c>
      <c r="C221" s="1003" t="s">
        <v>1417</v>
      </c>
      <c r="D221" s="1004" t="s">
        <v>2227</v>
      </c>
      <c r="F221" s="865">
        <v>220</v>
      </c>
    </row>
    <row r="222" spans="1:6" x14ac:dyDescent="0.25">
      <c r="A222" s="1002" t="s">
        <v>1424</v>
      </c>
      <c r="B222" s="1003" t="s">
        <v>1436</v>
      </c>
      <c r="C222" s="1003" t="s">
        <v>1418</v>
      </c>
      <c r="D222" s="1004" t="s">
        <v>2228</v>
      </c>
      <c r="F222" s="862">
        <v>221</v>
      </c>
    </row>
    <row r="223" spans="1:6" x14ac:dyDescent="0.25">
      <c r="A223" s="1002" t="s">
        <v>1425</v>
      </c>
      <c r="B223" s="1003" t="s">
        <v>1437</v>
      </c>
      <c r="C223" s="1003" t="s">
        <v>1419</v>
      </c>
      <c r="D223" s="1004" t="s">
        <v>2229</v>
      </c>
      <c r="F223" s="865">
        <v>222</v>
      </c>
    </row>
    <row r="224" spans="1:6" x14ac:dyDescent="0.25">
      <c r="A224" s="1002" t="s">
        <v>1426</v>
      </c>
      <c r="B224" s="1003" t="s">
        <v>1438</v>
      </c>
      <c r="C224" s="1003" t="s">
        <v>1420</v>
      </c>
      <c r="D224" s="1004" t="s">
        <v>2230</v>
      </c>
      <c r="F224" s="862">
        <v>223</v>
      </c>
    </row>
    <row r="225" spans="1:6" x14ac:dyDescent="0.25">
      <c r="A225" s="1002" t="s">
        <v>1427</v>
      </c>
      <c r="B225" s="1003" t="s">
        <v>1439</v>
      </c>
      <c r="C225" s="1003" t="s">
        <v>1421</v>
      </c>
      <c r="D225" s="1004" t="s">
        <v>2231</v>
      </c>
      <c r="F225" s="865">
        <v>224</v>
      </c>
    </row>
    <row r="226" spans="1:6" x14ac:dyDescent="0.25">
      <c r="A226" s="1002" t="s">
        <v>1428</v>
      </c>
      <c r="B226" s="1003" t="s">
        <v>1440</v>
      </c>
      <c r="C226" s="1003" t="s">
        <v>1279</v>
      </c>
      <c r="D226" s="1004" t="s">
        <v>2232</v>
      </c>
      <c r="F226" s="862">
        <v>225</v>
      </c>
    </row>
    <row r="227" spans="1:6" x14ac:dyDescent="0.25">
      <c r="A227" s="1002" t="s">
        <v>1429</v>
      </c>
      <c r="B227" s="1003" t="s">
        <v>1441</v>
      </c>
      <c r="C227" s="1003" t="s">
        <v>1275</v>
      </c>
      <c r="D227" s="1004" t="s">
        <v>2233</v>
      </c>
      <c r="F227" s="865">
        <v>226</v>
      </c>
    </row>
    <row r="228" spans="1:6" x14ac:dyDescent="0.25">
      <c r="A228" s="1002" t="s">
        <v>1430</v>
      </c>
      <c r="B228" s="1003" t="s">
        <v>1442</v>
      </c>
      <c r="C228" s="1003" t="s">
        <v>1278</v>
      </c>
      <c r="D228" s="1004" t="s">
        <v>2234</v>
      </c>
      <c r="F228" s="862">
        <v>227</v>
      </c>
    </row>
    <row r="229" spans="1:6" x14ac:dyDescent="0.25">
      <c r="A229" s="1002" t="s">
        <v>1431</v>
      </c>
      <c r="B229" s="1003" t="s">
        <v>1443</v>
      </c>
      <c r="C229" s="1003" t="s">
        <v>1415</v>
      </c>
      <c r="D229" s="1004" t="s">
        <v>2235</v>
      </c>
      <c r="F229" s="865">
        <v>228</v>
      </c>
    </row>
    <row r="230" spans="1:6" x14ac:dyDescent="0.25">
      <c r="A230" s="1002" t="s">
        <v>1432</v>
      </c>
      <c r="B230" s="1003" t="s">
        <v>1444</v>
      </c>
      <c r="C230" s="1003" t="s">
        <v>1416</v>
      </c>
      <c r="D230" s="1004" t="s">
        <v>2236</v>
      </c>
      <c r="F230" s="862">
        <v>229</v>
      </c>
    </row>
    <row r="231" spans="1:6" x14ac:dyDescent="0.25">
      <c r="A231" s="1002" t="s">
        <v>1433</v>
      </c>
      <c r="B231" s="1003" t="s">
        <v>1445</v>
      </c>
      <c r="C231" s="1003" t="s">
        <v>1414</v>
      </c>
      <c r="D231" s="1004" t="s">
        <v>2237</v>
      </c>
      <c r="F231" s="865">
        <v>230</v>
      </c>
    </row>
    <row r="232" spans="1:6" x14ac:dyDescent="0.25">
      <c r="A232" s="1002" t="s">
        <v>1434</v>
      </c>
      <c r="B232" s="1003" t="s">
        <v>1446</v>
      </c>
      <c r="C232" s="1003" t="s">
        <v>1276</v>
      </c>
      <c r="D232" s="1004" t="s">
        <v>2238</v>
      </c>
      <c r="F232" s="862">
        <v>231</v>
      </c>
    </row>
    <row r="233" spans="1:6" x14ac:dyDescent="0.25">
      <c r="A233" s="1002" t="s">
        <v>602</v>
      </c>
      <c r="B233" s="1003" t="s">
        <v>2038</v>
      </c>
      <c r="C233" s="1003" t="s">
        <v>2039</v>
      </c>
      <c r="D233" s="1004" t="s">
        <v>2239</v>
      </c>
      <c r="F233" s="865">
        <v>232</v>
      </c>
    </row>
    <row r="234" spans="1:6" x14ac:dyDescent="0.25">
      <c r="A234" s="1002" t="s">
        <v>663</v>
      </c>
      <c r="B234" s="1003" t="s">
        <v>2034</v>
      </c>
      <c r="C234" s="1003" t="s">
        <v>2037</v>
      </c>
      <c r="D234" s="1004" t="s">
        <v>2240</v>
      </c>
      <c r="F234" s="862">
        <v>233</v>
      </c>
    </row>
    <row r="235" spans="1:6" x14ac:dyDescent="0.25">
      <c r="A235" s="1002" t="s">
        <v>664</v>
      </c>
      <c r="B235" s="1003" t="s">
        <v>2035</v>
      </c>
      <c r="C235" s="1003" t="s">
        <v>2036</v>
      </c>
      <c r="D235" s="1004" t="s">
        <v>2241</v>
      </c>
      <c r="F235" s="865">
        <v>234</v>
      </c>
    </row>
    <row r="236" spans="1:6" x14ac:dyDescent="0.25">
      <c r="A236" s="1002" t="s">
        <v>665</v>
      </c>
      <c r="B236" s="1003" t="s">
        <v>607</v>
      </c>
      <c r="C236" s="1003" t="s">
        <v>618</v>
      </c>
      <c r="D236" s="1004" t="s">
        <v>2242</v>
      </c>
      <c r="F236" s="862">
        <v>235</v>
      </c>
    </row>
    <row r="237" spans="1:6" x14ac:dyDescent="0.25">
      <c r="A237" s="1002" t="s">
        <v>666</v>
      </c>
      <c r="B237" s="1003" t="s">
        <v>842</v>
      </c>
      <c r="C237" s="1003" t="s">
        <v>843</v>
      </c>
      <c r="D237" s="1004" t="s">
        <v>2243</v>
      </c>
      <c r="F237" s="865">
        <v>236</v>
      </c>
    </row>
    <row r="238" spans="1:6" x14ac:dyDescent="0.25">
      <c r="A238" s="1002" t="s">
        <v>667</v>
      </c>
      <c r="B238" s="1003" t="s">
        <v>842</v>
      </c>
      <c r="C238" s="1003" t="s">
        <v>843</v>
      </c>
      <c r="D238" s="1004" t="s">
        <v>2243</v>
      </c>
      <c r="F238" s="862">
        <v>237</v>
      </c>
    </row>
    <row r="239" spans="1:6" ht="45.6" x14ac:dyDescent="0.25">
      <c r="A239" s="1002" t="s">
        <v>668</v>
      </c>
      <c r="B239" s="1003" t="s">
        <v>2548</v>
      </c>
      <c r="C239" s="1003" t="s">
        <v>2555</v>
      </c>
      <c r="D239" s="1004" t="s">
        <v>2547</v>
      </c>
      <c r="F239" s="865">
        <v>238</v>
      </c>
    </row>
    <row r="240" spans="1:6" x14ac:dyDescent="0.25">
      <c r="A240" s="1002" t="s">
        <v>669</v>
      </c>
      <c r="B240" s="1003" t="s">
        <v>879</v>
      </c>
      <c r="C240" s="1003" t="s">
        <v>880</v>
      </c>
      <c r="D240" s="1004" t="s">
        <v>2244</v>
      </c>
      <c r="F240" s="862">
        <v>239</v>
      </c>
    </row>
    <row r="241" spans="1:6" ht="91.2" x14ac:dyDescent="0.25">
      <c r="A241" s="1002" t="s">
        <v>670</v>
      </c>
      <c r="B241" s="1003" t="s">
        <v>877</v>
      </c>
      <c r="C241" s="1003" t="s">
        <v>878</v>
      </c>
      <c r="D241" s="1004" t="s">
        <v>2245</v>
      </c>
      <c r="F241" s="865">
        <v>240</v>
      </c>
    </row>
    <row r="242" spans="1:6" x14ac:dyDescent="0.25">
      <c r="A242" s="1002" t="s">
        <v>603</v>
      </c>
      <c r="B242" s="1003" t="s">
        <v>740</v>
      </c>
      <c r="C242" s="1003" t="s">
        <v>739</v>
      </c>
      <c r="D242" s="1004" t="s">
        <v>2246</v>
      </c>
      <c r="F242" s="862">
        <v>241</v>
      </c>
    </row>
    <row r="243" spans="1:6" x14ac:dyDescent="0.25">
      <c r="A243" s="1002" t="s">
        <v>604</v>
      </c>
      <c r="B243" s="1003" t="s">
        <v>608</v>
      </c>
      <c r="C243" s="1003" t="s">
        <v>738</v>
      </c>
      <c r="D243" s="1004" t="s">
        <v>2247</v>
      </c>
      <c r="F243" s="865">
        <v>242</v>
      </c>
    </row>
    <row r="244" spans="1:6" x14ac:dyDescent="0.25">
      <c r="A244" s="1002" t="s">
        <v>815</v>
      </c>
      <c r="B244" s="1003" t="s">
        <v>2589</v>
      </c>
      <c r="C244" s="1003" t="s">
        <v>2588</v>
      </c>
      <c r="D244" s="1004" t="s">
        <v>2587</v>
      </c>
      <c r="F244" s="862">
        <v>243</v>
      </c>
    </row>
    <row r="245" spans="1:6" x14ac:dyDescent="0.25">
      <c r="A245" s="1002" t="s">
        <v>820</v>
      </c>
      <c r="B245" s="1003" t="s">
        <v>821</v>
      </c>
      <c r="C245" s="1003" t="s">
        <v>822</v>
      </c>
      <c r="D245" s="1004" t="s">
        <v>2248</v>
      </c>
      <c r="F245" s="865">
        <v>244</v>
      </c>
    </row>
    <row r="246" spans="1:6" x14ac:dyDescent="0.25">
      <c r="A246" s="1002" t="s">
        <v>823</v>
      </c>
      <c r="B246" s="1003" t="s">
        <v>827</v>
      </c>
      <c r="C246" s="1003" t="s">
        <v>826</v>
      </c>
      <c r="D246" s="1004" t="s">
        <v>2249</v>
      </c>
      <c r="F246" s="862">
        <v>245</v>
      </c>
    </row>
    <row r="247" spans="1:6" ht="22.8" x14ac:dyDescent="0.25">
      <c r="A247" s="1002" t="s">
        <v>824</v>
      </c>
      <c r="B247" s="1003" t="s">
        <v>825</v>
      </c>
      <c r="C247" s="1003" t="s">
        <v>3354</v>
      </c>
      <c r="D247" s="1004" t="s">
        <v>3355</v>
      </c>
      <c r="F247" s="865">
        <v>246</v>
      </c>
    </row>
    <row r="248" spans="1:6" x14ac:dyDescent="0.25">
      <c r="A248" s="1002" t="s">
        <v>788</v>
      </c>
      <c r="B248" s="1003" t="s">
        <v>706</v>
      </c>
      <c r="C248" s="1003" t="s">
        <v>445</v>
      </c>
      <c r="D248" s="1004" t="s">
        <v>2250</v>
      </c>
      <c r="F248" s="862">
        <v>247</v>
      </c>
    </row>
    <row r="249" spans="1:6" x14ac:dyDescent="0.25">
      <c r="A249" s="1002" t="s">
        <v>789</v>
      </c>
      <c r="B249" s="1003" t="s">
        <v>786</v>
      </c>
      <c r="C249" s="1003" t="s">
        <v>794</v>
      </c>
      <c r="D249" s="1004" t="s">
        <v>828</v>
      </c>
      <c r="F249" s="865">
        <v>248</v>
      </c>
    </row>
    <row r="250" spans="1:6" x14ac:dyDescent="0.25">
      <c r="A250" s="1002" t="s">
        <v>790</v>
      </c>
      <c r="B250" s="1003" t="s">
        <v>791</v>
      </c>
      <c r="C250" s="1003" t="s">
        <v>795</v>
      </c>
      <c r="D250" s="1004" t="s">
        <v>829</v>
      </c>
      <c r="F250" s="862">
        <v>249</v>
      </c>
    </row>
    <row r="251" spans="1:6" x14ac:dyDescent="0.25">
      <c r="A251" s="1002" t="s">
        <v>813</v>
      </c>
      <c r="B251" s="1003" t="s">
        <v>792</v>
      </c>
      <c r="C251" s="1003" t="s">
        <v>793</v>
      </c>
      <c r="D251" s="1004" t="s">
        <v>830</v>
      </c>
      <c r="F251" s="865">
        <v>250</v>
      </c>
    </row>
    <row r="252" spans="1:6" x14ac:dyDescent="0.25">
      <c r="A252" s="1002" t="s">
        <v>819</v>
      </c>
      <c r="B252" s="1003" t="s">
        <v>814</v>
      </c>
      <c r="C252" s="1003" t="s">
        <v>654</v>
      </c>
      <c r="D252" s="1004" t="s">
        <v>2251</v>
      </c>
      <c r="F252" s="862">
        <v>251</v>
      </c>
    </row>
    <row r="253" spans="1:6" x14ac:dyDescent="0.25">
      <c r="A253" s="1002" t="s">
        <v>1876</v>
      </c>
      <c r="B253" s="1003" t="s">
        <v>1877</v>
      </c>
      <c r="C253" s="1003" t="s">
        <v>1277</v>
      </c>
      <c r="D253" s="1004" t="s">
        <v>2252</v>
      </c>
      <c r="F253" s="865">
        <v>252</v>
      </c>
    </row>
    <row r="254" spans="1:6" x14ac:dyDescent="0.25">
      <c r="A254" s="1002" t="s">
        <v>1932</v>
      </c>
      <c r="B254" s="1003" t="s">
        <v>1933</v>
      </c>
      <c r="C254" s="1003" t="s">
        <v>1931</v>
      </c>
      <c r="D254" s="1004" t="s">
        <v>2253</v>
      </c>
      <c r="F254" s="862">
        <v>253</v>
      </c>
    </row>
    <row r="255" spans="1:6" s="871" customFormat="1" x14ac:dyDescent="0.25">
      <c r="A255" s="1002" t="s">
        <v>1940</v>
      </c>
      <c r="B255" s="1003" t="s">
        <v>1941</v>
      </c>
      <c r="C255" s="1003" t="s">
        <v>2562</v>
      </c>
      <c r="D255" s="1004" t="s">
        <v>2254</v>
      </c>
      <c r="E255" s="865"/>
      <c r="F255" s="865">
        <v>254</v>
      </c>
    </row>
    <row r="256" spans="1:6" x14ac:dyDescent="0.25">
      <c r="A256" s="1002" t="s">
        <v>2030</v>
      </c>
      <c r="B256" s="1003" t="s">
        <v>2032</v>
      </c>
      <c r="C256" s="1003" t="s">
        <v>2033</v>
      </c>
      <c r="D256" s="1004" t="s">
        <v>2255</v>
      </c>
      <c r="F256" s="862">
        <v>255</v>
      </c>
    </row>
    <row r="257" spans="1:6" x14ac:dyDescent="0.25">
      <c r="A257" s="1002" t="s">
        <v>2031</v>
      </c>
      <c r="B257" s="1003" t="s">
        <v>607</v>
      </c>
      <c r="C257" s="1003" t="s">
        <v>618</v>
      </c>
      <c r="D257" s="1004" t="s">
        <v>2256</v>
      </c>
      <c r="F257" s="865">
        <v>256</v>
      </c>
    </row>
    <row r="258" spans="1:6" ht="22.8" x14ac:dyDescent="0.25">
      <c r="A258" s="1002" t="s">
        <v>2040</v>
      </c>
      <c r="B258" s="1003" t="s">
        <v>2041</v>
      </c>
      <c r="C258" s="1003" t="s">
        <v>2042</v>
      </c>
      <c r="D258" s="1004" t="s">
        <v>2257</v>
      </c>
      <c r="F258" s="862">
        <v>257</v>
      </c>
    </row>
    <row r="259" spans="1:6" x14ac:dyDescent="0.25">
      <c r="A259" s="1002" t="s">
        <v>420</v>
      </c>
      <c r="B259" s="1003" t="s">
        <v>725</v>
      </c>
      <c r="C259" s="1003" t="s">
        <v>600</v>
      </c>
      <c r="D259" s="1004" t="s">
        <v>2258</v>
      </c>
      <c r="F259" s="865">
        <v>258</v>
      </c>
    </row>
    <row r="260" spans="1:6" ht="79.8" x14ac:dyDescent="0.25">
      <c r="A260" s="1132" t="s">
        <v>594</v>
      </c>
      <c r="B260" s="1133" t="s">
        <v>3502</v>
      </c>
      <c r="C260" s="1133" t="s">
        <v>3501</v>
      </c>
      <c r="D260" s="1134" t="s">
        <v>3500</v>
      </c>
      <c r="F260" s="862">
        <v>259</v>
      </c>
    </row>
    <row r="261" spans="1:6" x14ac:dyDescent="0.25">
      <c r="A261" s="1002" t="s">
        <v>712</v>
      </c>
      <c r="B261" s="1003" t="s">
        <v>659</v>
      </c>
      <c r="C261" s="1003" t="s">
        <v>705</v>
      </c>
      <c r="D261" s="1004" t="s">
        <v>659</v>
      </c>
      <c r="F261" s="865">
        <v>260</v>
      </c>
    </row>
    <row r="262" spans="1:6" x14ac:dyDescent="0.25">
      <c r="A262" s="1002" t="s">
        <v>713</v>
      </c>
      <c r="B262" s="1003" t="s">
        <v>699</v>
      </c>
      <c r="C262" s="1003" t="s">
        <v>700</v>
      </c>
      <c r="D262" s="1004" t="s">
        <v>2259</v>
      </c>
      <c r="F262" s="862">
        <v>261</v>
      </c>
    </row>
    <row r="263" spans="1:6" x14ac:dyDescent="0.25">
      <c r="A263" s="1002" t="s">
        <v>714</v>
      </c>
      <c r="B263" s="1003" t="s">
        <v>701</v>
      </c>
      <c r="C263" s="1003" t="s">
        <v>480</v>
      </c>
      <c r="D263" s="1004" t="s">
        <v>2260</v>
      </c>
      <c r="F263" s="865">
        <v>262</v>
      </c>
    </row>
    <row r="264" spans="1:6" s="871" customFormat="1" x14ac:dyDescent="0.25">
      <c r="A264" s="1002" t="s">
        <v>715</v>
      </c>
      <c r="B264" s="1003" t="s">
        <v>601</v>
      </c>
      <c r="C264" s="1003" t="s">
        <v>612</v>
      </c>
      <c r="D264" s="1004" t="s">
        <v>2226</v>
      </c>
      <c r="E264" s="865"/>
      <c r="F264" s="862">
        <v>263</v>
      </c>
    </row>
    <row r="265" spans="1:6" s="871" customFormat="1" x14ac:dyDescent="0.25">
      <c r="A265" s="1002" t="s">
        <v>716</v>
      </c>
      <c r="B265" s="1003" t="s">
        <v>2599</v>
      </c>
      <c r="C265" s="1003" t="s">
        <v>2598</v>
      </c>
      <c r="D265" s="1004" t="s">
        <v>2600</v>
      </c>
      <c r="E265" s="865"/>
      <c r="F265" s="865">
        <v>264</v>
      </c>
    </row>
    <row r="266" spans="1:6" s="871" customFormat="1" x14ac:dyDescent="0.25">
      <c r="A266" s="1002" t="s">
        <v>717</v>
      </c>
      <c r="B266" s="1003" t="s">
        <v>660</v>
      </c>
      <c r="C266" s="1003" t="s">
        <v>611</v>
      </c>
      <c r="D266" s="1004" t="s">
        <v>2261</v>
      </c>
      <c r="E266" s="865"/>
      <c r="F266" s="862">
        <v>265</v>
      </c>
    </row>
    <row r="267" spans="1:6" x14ac:dyDescent="0.25">
      <c r="A267" s="1002" t="s">
        <v>718</v>
      </c>
      <c r="B267" s="1003" t="s">
        <v>702</v>
      </c>
      <c r="C267" s="1003" t="s">
        <v>1480</v>
      </c>
      <c r="D267" s="1004" t="s">
        <v>2262</v>
      </c>
      <c r="F267" s="865">
        <v>266</v>
      </c>
    </row>
    <row r="268" spans="1:6" x14ac:dyDescent="0.25">
      <c r="A268" s="1002" t="s">
        <v>719</v>
      </c>
      <c r="B268" s="1003" t="s">
        <v>1942</v>
      </c>
      <c r="C268" s="1003" t="s">
        <v>1481</v>
      </c>
      <c r="D268" s="1004" t="s">
        <v>2263</v>
      </c>
      <c r="F268" s="862">
        <v>267</v>
      </c>
    </row>
    <row r="269" spans="1:6" x14ac:dyDescent="0.25">
      <c r="A269" s="1002" t="s">
        <v>1929</v>
      </c>
      <c r="B269" s="1003" t="s">
        <v>1960</v>
      </c>
      <c r="C269" s="1003" t="s">
        <v>1961</v>
      </c>
      <c r="D269" s="1004" t="s">
        <v>2264</v>
      </c>
      <c r="F269" s="865">
        <v>268</v>
      </c>
    </row>
    <row r="270" spans="1:6" x14ac:dyDescent="0.25">
      <c r="A270" s="1002" t="s">
        <v>1958</v>
      </c>
      <c r="B270" s="1003" t="s">
        <v>1962</v>
      </c>
      <c r="C270" s="1003" t="s">
        <v>1959</v>
      </c>
      <c r="D270" s="1004" t="s">
        <v>2265</v>
      </c>
      <c r="F270" s="862">
        <v>269</v>
      </c>
    </row>
    <row r="271" spans="1:6" x14ac:dyDescent="0.25">
      <c r="A271" s="1002" t="s">
        <v>720</v>
      </c>
      <c r="B271" s="1003" t="s">
        <v>729</v>
      </c>
      <c r="C271" s="1003" t="s">
        <v>703</v>
      </c>
      <c r="D271" s="1004" t="s">
        <v>2266</v>
      </c>
      <c r="F271" s="865">
        <v>270</v>
      </c>
    </row>
    <row r="272" spans="1:6" x14ac:dyDescent="0.25">
      <c r="A272" s="1002" t="s">
        <v>721</v>
      </c>
      <c r="B272" s="1003" t="s">
        <v>733</v>
      </c>
      <c r="C272" s="1003" t="s">
        <v>732</v>
      </c>
      <c r="D272" s="1004" t="s">
        <v>2267</v>
      </c>
      <c r="F272" s="862">
        <v>271</v>
      </c>
    </row>
    <row r="273" spans="1:6" x14ac:dyDescent="0.25">
      <c r="A273" s="1002" t="s">
        <v>722</v>
      </c>
      <c r="B273" s="1003" t="s">
        <v>704</v>
      </c>
      <c r="C273" s="1003" t="s">
        <v>617</v>
      </c>
      <c r="D273" s="1004" t="s">
        <v>2217</v>
      </c>
      <c r="F273" s="865">
        <v>272</v>
      </c>
    </row>
    <row r="274" spans="1:6" x14ac:dyDescent="0.2">
      <c r="A274" s="1002" t="s">
        <v>728</v>
      </c>
      <c r="B274" s="1005" t="s">
        <v>2582</v>
      </c>
      <c r="C274" s="1005" t="s">
        <v>2581</v>
      </c>
      <c r="D274" s="1004" t="s">
        <v>2578</v>
      </c>
      <c r="F274" s="862">
        <v>273</v>
      </c>
    </row>
    <row r="275" spans="1:6" x14ac:dyDescent="0.2">
      <c r="A275" s="1002" t="s">
        <v>2601</v>
      </c>
      <c r="B275" s="1005" t="s">
        <v>2603</v>
      </c>
      <c r="C275" s="1005" t="s">
        <v>2602</v>
      </c>
      <c r="D275" s="1004" t="s">
        <v>2604</v>
      </c>
      <c r="F275" s="865">
        <v>274</v>
      </c>
    </row>
    <row r="276" spans="1:6" x14ac:dyDescent="0.2">
      <c r="A276" s="1002" t="s">
        <v>723</v>
      </c>
      <c r="B276" s="1005" t="s">
        <v>731</v>
      </c>
      <c r="C276" s="1005" t="s">
        <v>730</v>
      </c>
      <c r="D276" s="1004" t="s">
        <v>2268</v>
      </c>
      <c r="F276" s="862">
        <v>275</v>
      </c>
    </row>
    <row r="277" spans="1:6" x14ac:dyDescent="0.2">
      <c r="A277" s="1002" t="s">
        <v>724</v>
      </c>
      <c r="B277" s="1005" t="s">
        <v>2583</v>
      </c>
      <c r="C277" s="1005" t="s">
        <v>2580</v>
      </c>
      <c r="D277" s="1004" t="s">
        <v>2576</v>
      </c>
      <c r="F277" s="865">
        <v>276</v>
      </c>
    </row>
    <row r="278" spans="1:6" ht="397.2" customHeight="1" x14ac:dyDescent="0.25">
      <c r="A278" s="1002" t="s">
        <v>734</v>
      </c>
      <c r="B278" s="1003" t="s">
        <v>2584</v>
      </c>
      <c r="C278" s="1003" t="s">
        <v>2579</v>
      </c>
      <c r="D278" s="1004" t="s">
        <v>2577</v>
      </c>
      <c r="F278" s="862">
        <v>277</v>
      </c>
    </row>
    <row r="279" spans="1:6" x14ac:dyDescent="0.2">
      <c r="A279" s="1002" t="s">
        <v>735</v>
      </c>
      <c r="B279" s="1005" t="s">
        <v>740</v>
      </c>
      <c r="C279" s="1005" t="s">
        <v>739</v>
      </c>
      <c r="D279" s="1004" t="s">
        <v>2246</v>
      </c>
      <c r="F279" s="865">
        <v>278</v>
      </c>
    </row>
    <row r="280" spans="1:6" x14ac:dyDescent="0.2">
      <c r="A280" s="1002" t="s">
        <v>736</v>
      </c>
      <c r="B280" s="1005" t="s">
        <v>2573</v>
      </c>
      <c r="C280" s="1005" t="s">
        <v>2570</v>
      </c>
      <c r="D280" s="1004" t="s">
        <v>2571</v>
      </c>
      <c r="F280" s="862">
        <v>279</v>
      </c>
    </row>
    <row r="281" spans="1:6" x14ac:dyDescent="0.2">
      <c r="A281" s="1002" t="s">
        <v>1408</v>
      </c>
      <c r="B281" s="1005" t="s">
        <v>1411</v>
      </c>
      <c r="C281" s="1005" t="s">
        <v>1410</v>
      </c>
      <c r="D281" s="1004" t="s">
        <v>2269</v>
      </c>
      <c r="F281" s="865">
        <v>280</v>
      </c>
    </row>
    <row r="282" spans="1:6" x14ac:dyDescent="0.2">
      <c r="A282" s="1002" t="s">
        <v>1409</v>
      </c>
      <c r="B282" s="1005" t="s">
        <v>1412</v>
      </c>
      <c r="C282" s="1005" t="s">
        <v>1413</v>
      </c>
      <c r="D282" s="1004" t="s">
        <v>2270</v>
      </c>
      <c r="F282" s="862">
        <v>281</v>
      </c>
    </row>
    <row r="283" spans="1:6" x14ac:dyDescent="0.2">
      <c r="A283" s="1002" t="s">
        <v>1878</v>
      </c>
      <c r="B283" s="1005" t="s">
        <v>608</v>
      </c>
      <c r="C283" s="1005" t="s">
        <v>738</v>
      </c>
      <c r="D283" s="1004" t="s">
        <v>2247</v>
      </c>
      <c r="F283" s="865">
        <v>282</v>
      </c>
    </row>
    <row r="284" spans="1:6" x14ac:dyDescent="0.2">
      <c r="A284" s="1002" t="s">
        <v>1879</v>
      </c>
      <c r="B284" s="1005" t="s">
        <v>2572</v>
      </c>
      <c r="C284" s="1005" t="s">
        <v>2574</v>
      </c>
      <c r="D284" s="1004" t="s">
        <v>2575</v>
      </c>
      <c r="F284" s="862">
        <v>283</v>
      </c>
    </row>
    <row r="285" spans="1:6" x14ac:dyDescent="0.2">
      <c r="A285" s="1002" t="s">
        <v>1944</v>
      </c>
      <c r="B285" s="1005" t="s">
        <v>1947</v>
      </c>
      <c r="C285" s="1005" t="s">
        <v>1943</v>
      </c>
      <c r="D285" s="1004" t="s">
        <v>2271</v>
      </c>
      <c r="F285" s="865">
        <v>284</v>
      </c>
    </row>
    <row r="286" spans="1:6" x14ac:dyDescent="0.25">
      <c r="A286" s="1003" t="s">
        <v>1945</v>
      </c>
      <c r="B286" s="1003" t="s">
        <v>1948</v>
      </c>
      <c r="C286" s="1003" t="s">
        <v>1946</v>
      </c>
      <c r="D286" s="1004" t="s">
        <v>2272</v>
      </c>
      <c r="F286" s="862">
        <v>285</v>
      </c>
    </row>
    <row r="287" spans="1:6" ht="409.6" x14ac:dyDescent="0.25">
      <c r="A287" s="1003" t="s">
        <v>1957</v>
      </c>
      <c r="B287" s="1003" t="s">
        <v>1973</v>
      </c>
      <c r="C287" s="1003" t="s">
        <v>1991</v>
      </c>
      <c r="D287" s="1004" t="s">
        <v>2273</v>
      </c>
      <c r="F287" s="865">
        <v>286</v>
      </c>
    </row>
    <row r="288" spans="1:6" x14ac:dyDescent="0.25">
      <c r="A288" s="1003" t="s">
        <v>1963</v>
      </c>
      <c r="B288" s="1003" t="s">
        <v>1964</v>
      </c>
      <c r="C288" s="1003" t="s">
        <v>1965</v>
      </c>
      <c r="D288" s="1004" t="s">
        <v>2274</v>
      </c>
      <c r="F288" s="862">
        <v>287</v>
      </c>
    </row>
    <row r="289" spans="1:6" x14ac:dyDescent="0.25">
      <c r="A289" s="1003" t="s">
        <v>1966</v>
      </c>
      <c r="B289" s="1003" t="s">
        <v>699</v>
      </c>
      <c r="C289" s="1003" t="s">
        <v>700</v>
      </c>
      <c r="D289" s="1004" t="s">
        <v>2259</v>
      </c>
      <c r="F289" s="865">
        <v>288</v>
      </c>
    </row>
    <row r="290" spans="1:6" x14ac:dyDescent="0.25">
      <c r="A290" s="1003" t="s">
        <v>1967</v>
      </c>
      <c r="B290" s="1003" t="s">
        <v>1440</v>
      </c>
      <c r="C290" s="1003" t="s">
        <v>1930</v>
      </c>
      <c r="D290" s="1004" t="s">
        <v>2232</v>
      </c>
      <c r="F290" s="862">
        <v>289</v>
      </c>
    </row>
    <row r="291" spans="1:6" x14ac:dyDescent="0.25">
      <c r="A291" s="1003" t="s">
        <v>1968</v>
      </c>
      <c r="B291" s="1003" t="s">
        <v>1969</v>
      </c>
      <c r="C291" s="1003" t="s">
        <v>1278</v>
      </c>
      <c r="D291" s="1004" t="s">
        <v>2234</v>
      </c>
      <c r="F291" s="865">
        <v>290</v>
      </c>
    </row>
    <row r="292" spans="1:6" x14ac:dyDescent="0.25">
      <c r="A292" s="1003" t="s">
        <v>2557</v>
      </c>
      <c r="B292" s="1003" t="s">
        <v>2567</v>
      </c>
      <c r="C292" s="1003" t="s">
        <v>2560</v>
      </c>
      <c r="D292" s="1004" t="s">
        <v>2563</v>
      </c>
      <c r="F292" s="862">
        <v>291</v>
      </c>
    </row>
    <row r="293" spans="1:6" x14ac:dyDescent="0.25">
      <c r="A293" s="1003" t="s">
        <v>2558</v>
      </c>
      <c r="B293" s="1003" t="s">
        <v>2565</v>
      </c>
      <c r="C293" s="1003" t="s">
        <v>2561</v>
      </c>
      <c r="D293" s="1004" t="s">
        <v>2564</v>
      </c>
      <c r="F293" s="865">
        <v>292</v>
      </c>
    </row>
    <row r="294" spans="1:6" x14ac:dyDescent="0.25">
      <c r="A294" s="1003" t="s">
        <v>2559</v>
      </c>
      <c r="B294" s="1003" t="s">
        <v>2568</v>
      </c>
      <c r="C294" s="1003" t="s">
        <v>2566</v>
      </c>
      <c r="D294" s="1004" t="s">
        <v>2569</v>
      </c>
      <c r="F294" s="862">
        <v>293</v>
      </c>
    </row>
    <row r="295" spans="1:6" x14ac:dyDescent="0.25">
      <c r="A295" s="1003" t="s">
        <v>1624</v>
      </c>
      <c r="B295" s="1003" t="s">
        <v>1508</v>
      </c>
      <c r="C295" s="1003" t="s">
        <v>1627</v>
      </c>
      <c r="D295" s="1004" t="s">
        <v>2275</v>
      </c>
      <c r="F295" s="865">
        <v>294</v>
      </c>
    </row>
    <row r="296" spans="1:6" ht="68.400000000000006" x14ac:dyDescent="0.25">
      <c r="A296" s="1003" t="s">
        <v>1628</v>
      </c>
      <c r="B296" s="1003" t="s">
        <v>1629</v>
      </c>
      <c r="C296" s="1003" t="s">
        <v>1630</v>
      </c>
      <c r="D296" s="1004" t="s">
        <v>2276</v>
      </c>
      <c r="F296" s="862">
        <v>295</v>
      </c>
    </row>
    <row r="297" spans="1:6" ht="79.8" x14ac:dyDescent="0.25">
      <c r="A297" s="1003" t="s">
        <v>1631</v>
      </c>
      <c r="B297" s="1003" t="s">
        <v>1632</v>
      </c>
      <c r="C297" s="1003" t="s">
        <v>1633</v>
      </c>
      <c r="D297" s="1004" t="s">
        <v>2277</v>
      </c>
      <c r="F297" s="865">
        <v>296</v>
      </c>
    </row>
    <row r="298" spans="1:6" ht="79.8" x14ac:dyDescent="0.25">
      <c r="A298" s="1003" t="s">
        <v>1634</v>
      </c>
      <c r="B298" s="1003" t="s">
        <v>1635</v>
      </c>
      <c r="C298" s="1003" t="s">
        <v>1636</v>
      </c>
      <c r="D298" s="1004" t="s">
        <v>2278</v>
      </c>
      <c r="F298" s="862">
        <v>297</v>
      </c>
    </row>
    <row r="299" spans="1:6" ht="68.400000000000006" x14ac:dyDescent="0.25">
      <c r="A299" s="1003" t="s">
        <v>1637</v>
      </c>
      <c r="B299" s="1003" t="s">
        <v>1638</v>
      </c>
      <c r="C299" s="1003" t="s">
        <v>1639</v>
      </c>
      <c r="D299" s="1004" t="s">
        <v>2279</v>
      </c>
      <c r="F299" s="865">
        <v>298</v>
      </c>
    </row>
    <row r="300" spans="1:6" x14ac:dyDescent="0.25">
      <c r="A300" s="1003" t="s">
        <v>1622</v>
      </c>
      <c r="B300" s="1003" t="s">
        <v>1506</v>
      </c>
      <c r="C300" s="1003" t="s">
        <v>1640</v>
      </c>
      <c r="D300" s="1004" t="s">
        <v>2280</v>
      </c>
      <c r="F300" s="862">
        <v>299</v>
      </c>
    </row>
    <row r="301" spans="1:6" ht="91.2" x14ac:dyDescent="0.25">
      <c r="A301" s="1003" t="s">
        <v>1641</v>
      </c>
      <c r="B301" s="1003" t="s">
        <v>1512</v>
      </c>
      <c r="C301" s="1003" t="s">
        <v>1642</v>
      </c>
      <c r="D301" s="1004" t="s">
        <v>2281</v>
      </c>
      <c r="F301" s="865">
        <v>300</v>
      </c>
    </row>
    <row r="302" spans="1:6" ht="102.6" x14ac:dyDescent="0.25">
      <c r="A302" s="1003" t="s">
        <v>1643</v>
      </c>
      <c r="B302" s="1003" t="s">
        <v>1644</v>
      </c>
      <c r="C302" s="1003" t="s">
        <v>1645</v>
      </c>
      <c r="D302" s="1004" t="s">
        <v>2282</v>
      </c>
      <c r="F302" s="862">
        <v>301</v>
      </c>
    </row>
    <row r="303" spans="1:6" ht="68.400000000000006" x14ac:dyDescent="0.25">
      <c r="A303" s="1003" t="s">
        <v>1646</v>
      </c>
      <c r="B303" s="1003" t="s">
        <v>1647</v>
      </c>
      <c r="C303" s="1003" t="s">
        <v>1648</v>
      </c>
      <c r="D303" s="1004" t="s">
        <v>2283</v>
      </c>
      <c r="F303" s="865">
        <v>302</v>
      </c>
    </row>
    <row r="304" spans="1:6" ht="79.8" x14ac:dyDescent="0.25">
      <c r="A304" s="1003" t="s">
        <v>1649</v>
      </c>
      <c r="B304" s="1003" t="s">
        <v>1650</v>
      </c>
      <c r="C304" s="1003" t="s">
        <v>1651</v>
      </c>
      <c r="D304" s="1004" t="s">
        <v>2284</v>
      </c>
      <c r="F304" s="862">
        <v>303</v>
      </c>
    </row>
    <row r="305" spans="1:6" x14ac:dyDescent="0.25">
      <c r="A305" s="1003" t="s">
        <v>1623</v>
      </c>
      <c r="B305" s="1003" t="s">
        <v>1507</v>
      </c>
      <c r="C305" s="1003" t="s">
        <v>1652</v>
      </c>
      <c r="D305" s="1004" t="s">
        <v>2285</v>
      </c>
      <c r="F305" s="865">
        <v>304</v>
      </c>
    </row>
    <row r="306" spans="1:6" ht="91.2" x14ac:dyDescent="0.25">
      <c r="A306" s="1003" t="s">
        <v>1653</v>
      </c>
      <c r="B306" s="1003" t="s">
        <v>1654</v>
      </c>
      <c r="C306" s="1003" t="s">
        <v>1655</v>
      </c>
      <c r="D306" s="1004" t="s">
        <v>2286</v>
      </c>
      <c r="F306" s="862">
        <v>305</v>
      </c>
    </row>
    <row r="307" spans="1:6" ht="79.8" x14ac:dyDescent="0.25">
      <c r="A307" s="1003" t="s">
        <v>1656</v>
      </c>
      <c r="B307" s="1003" t="s">
        <v>1657</v>
      </c>
      <c r="C307" s="1003" t="s">
        <v>1658</v>
      </c>
      <c r="D307" s="1004" t="s">
        <v>2287</v>
      </c>
      <c r="F307" s="865">
        <v>306</v>
      </c>
    </row>
    <row r="308" spans="1:6" ht="68.400000000000006" x14ac:dyDescent="0.25">
      <c r="A308" s="1003" t="s">
        <v>1659</v>
      </c>
      <c r="B308" s="1003" t="s">
        <v>1660</v>
      </c>
      <c r="C308" s="1003" t="s">
        <v>1661</v>
      </c>
      <c r="D308" s="1004" t="s">
        <v>2288</v>
      </c>
      <c r="F308" s="862">
        <v>307</v>
      </c>
    </row>
    <row r="309" spans="1:6" ht="68.400000000000006" x14ac:dyDescent="0.25">
      <c r="A309" s="1003" t="s">
        <v>1662</v>
      </c>
      <c r="B309" s="1003" t="s">
        <v>1663</v>
      </c>
      <c r="C309" s="1003" t="s">
        <v>1664</v>
      </c>
      <c r="D309" s="1004" t="s">
        <v>2289</v>
      </c>
      <c r="F309" s="865">
        <v>308</v>
      </c>
    </row>
    <row r="310" spans="1:6" x14ac:dyDescent="0.25">
      <c r="A310" s="1003" t="s">
        <v>1626</v>
      </c>
      <c r="B310" s="1003" t="s">
        <v>1510</v>
      </c>
      <c r="C310" s="1003" t="s">
        <v>1665</v>
      </c>
      <c r="D310" s="1004" t="s">
        <v>2290</v>
      </c>
      <c r="F310" s="862">
        <v>309</v>
      </c>
    </row>
    <row r="311" spans="1:6" ht="57" x14ac:dyDescent="0.25">
      <c r="A311" s="861" t="s">
        <v>1666</v>
      </c>
      <c r="B311" s="862" t="s">
        <v>1667</v>
      </c>
      <c r="C311" s="862" t="s">
        <v>1668</v>
      </c>
      <c r="D311" s="863" t="s">
        <v>2291</v>
      </c>
      <c r="F311" s="865">
        <v>310</v>
      </c>
    </row>
    <row r="312" spans="1:6" ht="91.2" x14ac:dyDescent="0.25">
      <c r="A312" s="864" t="s">
        <v>1669</v>
      </c>
      <c r="B312" s="865" t="s">
        <v>1670</v>
      </c>
      <c r="C312" s="865" t="s">
        <v>1671</v>
      </c>
      <c r="D312" s="866" t="s">
        <v>2292</v>
      </c>
      <c r="F312" s="862">
        <v>311</v>
      </c>
    </row>
    <row r="313" spans="1:6" s="871" customFormat="1" ht="68.400000000000006" x14ac:dyDescent="0.25">
      <c r="A313" s="861" t="s">
        <v>1672</v>
      </c>
      <c r="B313" s="862" t="s">
        <v>1673</v>
      </c>
      <c r="C313" s="862" t="s">
        <v>1674</v>
      </c>
      <c r="D313" s="863" t="s">
        <v>2293</v>
      </c>
      <c r="E313" s="865"/>
      <c r="F313" s="865">
        <v>312</v>
      </c>
    </row>
    <row r="314" spans="1:6" ht="68.400000000000006" x14ac:dyDescent="0.25">
      <c r="A314" s="864" t="s">
        <v>1675</v>
      </c>
      <c r="B314" s="865" t="s">
        <v>1676</v>
      </c>
      <c r="C314" s="865" t="s">
        <v>1677</v>
      </c>
      <c r="D314" s="866" t="s">
        <v>2294</v>
      </c>
      <c r="F314" s="862">
        <v>313</v>
      </c>
    </row>
    <row r="315" spans="1:6" x14ac:dyDescent="0.25">
      <c r="A315" s="864" t="s">
        <v>1625</v>
      </c>
      <c r="B315" s="865" t="s">
        <v>1509</v>
      </c>
      <c r="C315" s="865" t="s">
        <v>1678</v>
      </c>
      <c r="D315" s="866" t="s">
        <v>2295</v>
      </c>
      <c r="F315" s="865">
        <v>314</v>
      </c>
    </row>
    <row r="316" spans="1:6" ht="57" x14ac:dyDescent="0.25">
      <c r="A316" s="864" t="s">
        <v>1679</v>
      </c>
      <c r="B316" s="865" t="s">
        <v>1680</v>
      </c>
      <c r="C316" s="865" t="s">
        <v>1681</v>
      </c>
      <c r="D316" s="866" t="s">
        <v>2296</v>
      </c>
      <c r="F316" s="862">
        <v>315</v>
      </c>
    </row>
    <row r="317" spans="1:6" ht="68.400000000000006" x14ac:dyDescent="0.25">
      <c r="A317" s="864" t="s">
        <v>1682</v>
      </c>
      <c r="B317" s="865" t="s">
        <v>1683</v>
      </c>
      <c r="C317" s="865" t="s">
        <v>1684</v>
      </c>
      <c r="D317" s="866" t="s">
        <v>2297</v>
      </c>
      <c r="F317" s="865">
        <v>316</v>
      </c>
    </row>
    <row r="318" spans="1:6" ht="57" x14ac:dyDescent="0.25">
      <c r="A318" s="864" t="s">
        <v>1685</v>
      </c>
      <c r="B318" s="865" t="s">
        <v>1686</v>
      </c>
      <c r="C318" s="865" t="s">
        <v>1687</v>
      </c>
      <c r="D318" s="866" t="s">
        <v>2298</v>
      </c>
      <c r="F318" s="862">
        <v>317</v>
      </c>
    </row>
    <row r="319" spans="1:6" ht="57" x14ac:dyDescent="0.25">
      <c r="A319" s="864" t="s">
        <v>1688</v>
      </c>
      <c r="B319" s="865" t="s">
        <v>1689</v>
      </c>
      <c r="C319" s="865" t="s">
        <v>1690</v>
      </c>
      <c r="D319" s="866" t="s">
        <v>2299</v>
      </c>
      <c r="F319" s="865">
        <v>318</v>
      </c>
    </row>
    <row r="320" spans="1:6" x14ac:dyDescent="0.25">
      <c r="A320" s="864" t="s">
        <v>79</v>
      </c>
      <c r="B320" s="865" t="s">
        <v>1213</v>
      </c>
      <c r="C320" s="865" t="s">
        <v>1465</v>
      </c>
      <c r="D320" s="866" t="s">
        <v>2300</v>
      </c>
      <c r="F320" s="862">
        <v>319</v>
      </c>
    </row>
    <row r="321" spans="1:6" ht="102.6" x14ac:dyDescent="0.25">
      <c r="A321" s="864" t="s">
        <v>494</v>
      </c>
      <c r="B321" s="865" t="s">
        <v>1256</v>
      </c>
      <c r="C321" s="865" t="s">
        <v>784</v>
      </c>
      <c r="D321" s="866" t="s">
        <v>2301</v>
      </c>
      <c r="F321" s="865">
        <v>320</v>
      </c>
    </row>
    <row r="322" spans="1:6" x14ac:dyDescent="0.25">
      <c r="A322" s="864" t="s">
        <v>132</v>
      </c>
      <c r="B322" s="865" t="s">
        <v>495</v>
      </c>
      <c r="C322" s="865" t="s">
        <v>496</v>
      </c>
      <c r="D322" s="866" t="s">
        <v>2302</v>
      </c>
      <c r="F322" s="862">
        <v>321</v>
      </c>
    </row>
    <row r="323" spans="1:6" ht="136.80000000000001" x14ac:dyDescent="0.25">
      <c r="A323" s="861" t="s">
        <v>497</v>
      </c>
      <c r="B323" s="862" t="s">
        <v>498</v>
      </c>
      <c r="C323" s="862" t="s">
        <v>785</v>
      </c>
      <c r="D323" s="863" t="s">
        <v>2303</v>
      </c>
      <c r="F323" s="865">
        <v>322</v>
      </c>
    </row>
    <row r="324" spans="1:6" ht="114" x14ac:dyDescent="0.25">
      <c r="A324" s="864" t="s">
        <v>336</v>
      </c>
      <c r="B324" s="865" t="s">
        <v>1214</v>
      </c>
      <c r="C324" s="865" t="s">
        <v>1894</v>
      </c>
      <c r="D324" s="866" t="s">
        <v>2304</v>
      </c>
      <c r="E324" s="865" t="s">
        <v>2935</v>
      </c>
      <c r="F324" s="862">
        <v>323</v>
      </c>
    </row>
    <row r="325" spans="1:6" ht="159.6" x14ac:dyDescent="0.25">
      <c r="A325" s="864" t="s">
        <v>337</v>
      </c>
      <c r="B325" s="865" t="s">
        <v>1215</v>
      </c>
      <c r="C325" s="865" t="s">
        <v>585</v>
      </c>
      <c r="D325" s="866" t="s">
        <v>2305</v>
      </c>
      <c r="E325" s="865" t="s">
        <v>2936</v>
      </c>
      <c r="F325" s="865">
        <v>324</v>
      </c>
    </row>
    <row r="326" spans="1:6" ht="79.8" x14ac:dyDescent="0.25">
      <c r="A326" s="864" t="s">
        <v>338</v>
      </c>
      <c r="B326" s="865" t="s">
        <v>2715</v>
      </c>
      <c r="C326" s="865" t="s">
        <v>1467</v>
      </c>
      <c r="D326" s="866" t="s">
        <v>2306</v>
      </c>
      <c r="E326" s="865" t="s">
        <v>2937</v>
      </c>
      <c r="F326" s="862">
        <v>325</v>
      </c>
    </row>
    <row r="327" spans="1:6" ht="159.6" x14ac:dyDescent="0.25">
      <c r="A327" s="864" t="s">
        <v>339</v>
      </c>
      <c r="B327" s="865" t="s">
        <v>1216</v>
      </c>
      <c r="C327" s="865" t="s">
        <v>1992</v>
      </c>
      <c r="D327" s="866" t="s">
        <v>2307</v>
      </c>
      <c r="E327" s="865" t="s">
        <v>2938</v>
      </c>
      <c r="F327" s="865">
        <v>326</v>
      </c>
    </row>
    <row r="328" spans="1:6" ht="102.6" x14ac:dyDescent="0.25">
      <c r="A328" s="864" t="s">
        <v>340</v>
      </c>
      <c r="B328" s="865" t="s">
        <v>499</v>
      </c>
      <c r="C328" s="865" t="s">
        <v>1993</v>
      </c>
      <c r="D328" s="866" t="s">
        <v>2308</v>
      </c>
      <c r="E328" s="865" t="s">
        <v>2939</v>
      </c>
      <c r="F328" s="862">
        <v>327</v>
      </c>
    </row>
    <row r="329" spans="1:6" s="871" customFormat="1" ht="182.4" x14ac:dyDescent="0.25">
      <c r="A329" s="864" t="s">
        <v>341</v>
      </c>
      <c r="B329" s="865" t="s">
        <v>1217</v>
      </c>
      <c r="C329" s="865" t="s">
        <v>1468</v>
      </c>
      <c r="D329" s="866" t="s">
        <v>2309</v>
      </c>
      <c r="E329" s="865" t="s">
        <v>2940</v>
      </c>
      <c r="F329" s="865">
        <v>328</v>
      </c>
    </row>
    <row r="330" spans="1:6" ht="216.6" x14ac:dyDescent="0.25">
      <c r="A330" s="864" t="s">
        <v>342</v>
      </c>
      <c r="B330" s="862" t="s">
        <v>2716</v>
      </c>
      <c r="C330" s="865" t="s">
        <v>3208</v>
      </c>
      <c r="D330" s="866" t="s">
        <v>3471</v>
      </c>
      <c r="E330" s="865" t="s">
        <v>2941</v>
      </c>
      <c r="F330" s="862">
        <v>329</v>
      </c>
    </row>
    <row r="331" spans="1:6" ht="125.4" x14ac:dyDescent="0.25">
      <c r="A331" s="864" t="s">
        <v>343</v>
      </c>
      <c r="B331" s="865" t="s">
        <v>2717</v>
      </c>
      <c r="C331" s="865" t="s">
        <v>3209</v>
      </c>
      <c r="D331" s="866" t="s">
        <v>3398</v>
      </c>
      <c r="E331" s="865" t="s">
        <v>2942</v>
      </c>
      <c r="F331" s="865">
        <v>330</v>
      </c>
    </row>
    <row r="332" spans="1:6" x14ac:dyDescent="0.25">
      <c r="A332" s="864" t="s">
        <v>135</v>
      </c>
      <c r="B332" s="865" t="s">
        <v>500</v>
      </c>
      <c r="C332" s="865" t="s">
        <v>710</v>
      </c>
      <c r="D332" s="866" t="s">
        <v>2310</v>
      </c>
      <c r="F332" s="862">
        <v>331</v>
      </c>
    </row>
    <row r="333" spans="1:6" ht="91.2" x14ac:dyDescent="0.25">
      <c r="A333" s="864" t="s">
        <v>501</v>
      </c>
      <c r="B333" s="865" t="s">
        <v>502</v>
      </c>
      <c r="C333" s="865" t="s">
        <v>711</v>
      </c>
      <c r="D333" s="866" t="s">
        <v>2311</v>
      </c>
      <c r="F333" s="865">
        <v>332</v>
      </c>
    </row>
    <row r="334" spans="1:6" ht="68.400000000000006" x14ac:dyDescent="0.25">
      <c r="A334" s="864" t="s">
        <v>344</v>
      </c>
      <c r="B334" s="865" t="s">
        <v>1218</v>
      </c>
      <c r="C334" s="865" t="s">
        <v>1895</v>
      </c>
      <c r="D334" s="866" t="s">
        <v>2312</v>
      </c>
      <c r="E334" s="865" t="s">
        <v>2943</v>
      </c>
      <c r="F334" s="862">
        <v>333</v>
      </c>
    </row>
    <row r="335" spans="1:6" ht="79.8" x14ac:dyDescent="0.25">
      <c r="A335" s="864" t="s">
        <v>345</v>
      </c>
      <c r="B335" s="865" t="s">
        <v>503</v>
      </c>
      <c r="C335" s="865" t="s">
        <v>1469</v>
      </c>
      <c r="D335" s="866" t="s">
        <v>2313</v>
      </c>
      <c r="E335" s="865" t="s">
        <v>2944</v>
      </c>
      <c r="F335" s="865">
        <v>334</v>
      </c>
    </row>
    <row r="336" spans="1:6" ht="79.8" x14ac:dyDescent="0.25">
      <c r="A336" s="864" t="s">
        <v>346</v>
      </c>
      <c r="B336" s="865" t="s">
        <v>1219</v>
      </c>
      <c r="C336" s="865" t="s">
        <v>1470</v>
      </c>
      <c r="D336" s="866" t="s">
        <v>2314</v>
      </c>
      <c r="E336" s="865" t="s">
        <v>2945</v>
      </c>
      <c r="F336" s="862">
        <v>335</v>
      </c>
    </row>
    <row r="337" spans="1:6" s="871" customFormat="1" ht="91.2" x14ac:dyDescent="0.25">
      <c r="A337" s="861" t="s">
        <v>347</v>
      </c>
      <c r="B337" s="862" t="s">
        <v>504</v>
      </c>
      <c r="C337" s="862" t="s">
        <v>1402</v>
      </c>
      <c r="D337" s="863" t="s">
        <v>2315</v>
      </c>
      <c r="E337" s="865" t="s">
        <v>2946</v>
      </c>
      <c r="F337" s="865">
        <v>336</v>
      </c>
    </row>
    <row r="338" spans="1:6" ht="57" x14ac:dyDescent="0.25">
      <c r="A338" s="864" t="s">
        <v>348</v>
      </c>
      <c r="B338" s="865" t="s">
        <v>1220</v>
      </c>
      <c r="C338" s="865" t="s">
        <v>1471</v>
      </c>
      <c r="D338" s="866" t="s">
        <v>2316</v>
      </c>
      <c r="E338" s="865" t="s">
        <v>2947</v>
      </c>
      <c r="F338" s="862">
        <v>337</v>
      </c>
    </row>
    <row r="339" spans="1:6" ht="91.2" x14ac:dyDescent="0.25">
      <c r="A339" s="864" t="s">
        <v>349</v>
      </c>
      <c r="B339" s="865" t="s">
        <v>505</v>
      </c>
      <c r="C339" s="865" t="s">
        <v>1472</v>
      </c>
      <c r="D339" s="866" t="s">
        <v>2317</v>
      </c>
      <c r="E339" s="865" t="s">
        <v>2948</v>
      </c>
      <c r="F339" s="865">
        <v>338</v>
      </c>
    </row>
    <row r="340" spans="1:6" ht="91.2" x14ac:dyDescent="0.25">
      <c r="A340" s="864" t="s">
        <v>350</v>
      </c>
      <c r="B340" s="865" t="s">
        <v>1221</v>
      </c>
      <c r="C340" s="865" t="s">
        <v>1473</v>
      </c>
      <c r="D340" s="866" t="s">
        <v>2318</v>
      </c>
      <c r="E340" s="865" t="s">
        <v>2949</v>
      </c>
      <c r="F340" s="862">
        <v>339</v>
      </c>
    </row>
    <row r="341" spans="1:6" ht="136.80000000000001" x14ac:dyDescent="0.25">
      <c r="A341" s="864" t="s">
        <v>351</v>
      </c>
      <c r="B341" s="865" t="s">
        <v>1222</v>
      </c>
      <c r="C341" s="865" t="s">
        <v>1474</v>
      </c>
      <c r="D341" s="866" t="s">
        <v>2319</v>
      </c>
      <c r="E341" s="865" t="s">
        <v>2950</v>
      </c>
      <c r="F341" s="865">
        <v>340</v>
      </c>
    </row>
    <row r="342" spans="1:6" ht="79.8" x14ac:dyDescent="0.25">
      <c r="A342" s="864" t="s">
        <v>352</v>
      </c>
      <c r="B342" s="865" t="s">
        <v>2718</v>
      </c>
      <c r="C342" s="865" t="s">
        <v>3484</v>
      </c>
      <c r="D342" s="866" t="s">
        <v>3485</v>
      </c>
      <c r="E342" s="865" t="s">
        <v>2951</v>
      </c>
      <c r="F342" s="862">
        <v>341</v>
      </c>
    </row>
    <row r="343" spans="1:6" ht="79.8" x14ac:dyDescent="0.25">
      <c r="A343" s="864" t="s">
        <v>353</v>
      </c>
      <c r="B343" s="865" t="s">
        <v>506</v>
      </c>
      <c r="C343" s="865" t="s">
        <v>3210</v>
      </c>
      <c r="D343" s="866" t="s">
        <v>3399</v>
      </c>
      <c r="E343" s="865" t="s">
        <v>2952</v>
      </c>
      <c r="F343" s="865">
        <v>342</v>
      </c>
    </row>
    <row r="344" spans="1:6" s="871" customFormat="1" x14ac:dyDescent="0.25">
      <c r="A344" s="864" t="s">
        <v>138</v>
      </c>
      <c r="B344" s="865" t="s">
        <v>397</v>
      </c>
      <c r="C344" s="865" t="s">
        <v>708</v>
      </c>
      <c r="D344" s="866" t="s">
        <v>2087</v>
      </c>
      <c r="E344" s="865"/>
      <c r="F344" s="862">
        <v>343</v>
      </c>
    </row>
    <row r="345" spans="1:6" ht="79.8" x14ac:dyDescent="0.25">
      <c r="A345" s="861" t="s">
        <v>508</v>
      </c>
      <c r="B345" s="862" t="s">
        <v>399</v>
      </c>
      <c r="C345" s="862" t="s">
        <v>835</v>
      </c>
      <c r="D345" s="863" t="s">
        <v>2088</v>
      </c>
      <c r="F345" s="865">
        <v>344</v>
      </c>
    </row>
    <row r="346" spans="1:6" ht="79.8" x14ac:dyDescent="0.25">
      <c r="A346" s="864" t="s">
        <v>355</v>
      </c>
      <c r="B346" s="865" t="s">
        <v>1223</v>
      </c>
      <c r="C346" s="865" t="s">
        <v>1403</v>
      </c>
      <c r="D346" s="866" t="s">
        <v>2320</v>
      </c>
      <c r="E346" s="865" t="s">
        <v>2953</v>
      </c>
      <c r="F346" s="862">
        <v>345</v>
      </c>
    </row>
    <row r="347" spans="1:6" ht="216.6" x14ac:dyDescent="0.25">
      <c r="A347" s="861" t="s">
        <v>356</v>
      </c>
      <c r="B347" s="862" t="s">
        <v>709</v>
      </c>
      <c r="C347" s="862" t="s">
        <v>1404</v>
      </c>
      <c r="D347" s="863" t="s">
        <v>2321</v>
      </c>
      <c r="E347" s="865" t="s">
        <v>2954</v>
      </c>
      <c r="F347" s="865">
        <v>346</v>
      </c>
    </row>
    <row r="348" spans="1:6" ht="91.2" x14ac:dyDescent="0.25">
      <c r="A348" s="864" t="s">
        <v>357</v>
      </c>
      <c r="B348" s="865" t="s">
        <v>1224</v>
      </c>
      <c r="C348" s="865" t="s">
        <v>1986</v>
      </c>
      <c r="D348" s="866" t="s">
        <v>2322</v>
      </c>
      <c r="E348" s="865" t="s">
        <v>2955</v>
      </c>
      <c r="F348" s="862">
        <v>347</v>
      </c>
    </row>
    <row r="349" spans="1:6" ht="125.4" x14ac:dyDescent="0.25">
      <c r="A349" s="864" t="s">
        <v>358</v>
      </c>
      <c r="B349" s="865" t="s">
        <v>1225</v>
      </c>
      <c r="C349" s="865" t="s">
        <v>1406</v>
      </c>
      <c r="D349" s="866" t="s">
        <v>2324</v>
      </c>
      <c r="E349" s="865" t="s">
        <v>2956</v>
      </c>
      <c r="F349" s="865">
        <v>348</v>
      </c>
    </row>
    <row r="350" spans="1:6" ht="125.4" x14ac:dyDescent="0.25">
      <c r="A350" s="864" t="s">
        <v>359</v>
      </c>
      <c r="B350" s="865" t="s">
        <v>512</v>
      </c>
      <c r="C350" s="865" t="s">
        <v>1405</v>
      </c>
      <c r="D350" s="866" t="s">
        <v>2323</v>
      </c>
      <c r="E350" s="865" t="s">
        <v>2957</v>
      </c>
      <c r="F350" s="862">
        <v>349</v>
      </c>
    </row>
    <row r="351" spans="1:6" ht="34.200000000000003" x14ac:dyDescent="0.25">
      <c r="A351" s="864" t="s">
        <v>360</v>
      </c>
      <c r="B351" s="865" t="s">
        <v>1226</v>
      </c>
      <c r="C351" s="865" t="s">
        <v>1407</v>
      </c>
      <c r="D351" s="866" t="s">
        <v>2325</v>
      </c>
      <c r="E351" s="865" t="s">
        <v>2958</v>
      </c>
      <c r="F351" s="865">
        <v>350</v>
      </c>
    </row>
    <row r="352" spans="1:6" ht="22.8" x14ac:dyDescent="0.25">
      <c r="A352" s="865" t="s">
        <v>69</v>
      </c>
      <c r="B352" s="865" t="s">
        <v>1134</v>
      </c>
      <c r="C352" s="865" t="s">
        <v>1461</v>
      </c>
      <c r="D352" s="866" t="s">
        <v>2326</v>
      </c>
      <c r="F352" s="862">
        <v>351</v>
      </c>
    </row>
    <row r="353" spans="1:6" s="871" customFormat="1" ht="114" x14ac:dyDescent="0.25">
      <c r="A353" s="865" t="s">
        <v>543</v>
      </c>
      <c r="B353" s="865" t="s">
        <v>1257</v>
      </c>
      <c r="C353" s="865" t="s">
        <v>778</v>
      </c>
      <c r="D353" s="866" t="s">
        <v>2327</v>
      </c>
      <c r="E353" s="865"/>
      <c r="F353" s="865">
        <v>352</v>
      </c>
    </row>
    <row r="354" spans="1:6" s="871" customFormat="1" x14ac:dyDescent="0.25">
      <c r="A354" s="865" t="s">
        <v>90</v>
      </c>
      <c r="B354" s="865" t="s">
        <v>544</v>
      </c>
      <c r="C354" s="865" t="s">
        <v>1289</v>
      </c>
      <c r="D354" s="866" t="s">
        <v>2328</v>
      </c>
      <c r="E354" s="865"/>
      <c r="F354" s="862">
        <v>353</v>
      </c>
    </row>
    <row r="355" spans="1:6" ht="91.2" x14ac:dyDescent="0.25">
      <c r="A355" s="862" t="s">
        <v>545</v>
      </c>
      <c r="B355" s="862" t="s">
        <v>1258</v>
      </c>
      <c r="C355" s="862" t="s">
        <v>779</v>
      </c>
      <c r="D355" s="863" t="s">
        <v>2329</v>
      </c>
      <c r="F355" s="865">
        <v>354</v>
      </c>
    </row>
    <row r="356" spans="1:6" ht="91.2" x14ac:dyDescent="0.25">
      <c r="A356" s="865" t="s">
        <v>240</v>
      </c>
      <c r="B356" s="865" t="s">
        <v>2719</v>
      </c>
      <c r="C356" s="865" t="s">
        <v>3211</v>
      </c>
      <c r="D356" s="866" t="s">
        <v>3400</v>
      </c>
      <c r="E356" s="865" t="s">
        <v>2959</v>
      </c>
      <c r="F356" s="862">
        <v>355</v>
      </c>
    </row>
    <row r="357" spans="1:6" ht="91.2" x14ac:dyDescent="0.25">
      <c r="A357" s="865" t="s">
        <v>241</v>
      </c>
      <c r="B357" s="865" t="s">
        <v>1135</v>
      </c>
      <c r="C357" s="865" t="s">
        <v>1355</v>
      </c>
      <c r="D357" s="866" t="s">
        <v>2330</v>
      </c>
      <c r="E357" s="865" t="s">
        <v>2960</v>
      </c>
      <c r="F357" s="865">
        <v>356</v>
      </c>
    </row>
    <row r="358" spans="1:6" ht="79.8" x14ac:dyDescent="0.25">
      <c r="A358" s="865" t="s">
        <v>242</v>
      </c>
      <c r="B358" s="865" t="s">
        <v>2720</v>
      </c>
      <c r="C358" s="865" t="s">
        <v>3212</v>
      </c>
      <c r="D358" s="866" t="s">
        <v>3401</v>
      </c>
      <c r="E358" s="865" t="s">
        <v>2961</v>
      </c>
      <c r="F358" s="862">
        <v>357</v>
      </c>
    </row>
    <row r="359" spans="1:6" ht="79.8" x14ac:dyDescent="0.25">
      <c r="A359" s="865" t="s">
        <v>243</v>
      </c>
      <c r="B359" s="865" t="s">
        <v>546</v>
      </c>
      <c r="C359" s="865" t="s">
        <v>1356</v>
      </c>
      <c r="D359" s="866" t="s">
        <v>2331</v>
      </c>
      <c r="E359" s="865" t="s">
        <v>2962</v>
      </c>
      <c r="F359" s="865">
        <v>358</v>
      </c>
    </row>
    <row r="360" spans="1:6" ht="102.6" x14ac:dyDescent="0.25">
      <c r="A360" s="865" t="s">
        <v>244</v>
      </c>
      <c r="B360" s="865" t="s">
        <v>2721</v>
      </c>
      <c r="C360" s="865" t="s">
        <v>3213</v>
      </c>
      <c r="D360" s="866" t="s">
        <v>3402</v>
      </c>
      <c r="E360" s="865" t="s">
        <v>2963</v>
      </c>
      <c r="F360" s="862">
        <v>359</v>
      </c>
    </row>
    <row r="361" spans="1:6" s="871" customFormat="1" ht="79.8" x14ac:dyDescent="0.25">
      <c r="A361" s="865" t="s">
        <v>245</v>
      </c>
      <c r="B361" s="865" t="s">
        <v>1136</v>
      </c>
      <c r="C361" s="865" t="s">
        <v>1357</v>
      </c>
      <c r="D361" s="866" t="s">
        <v>2332</v>
      </c>
      <c r="E361" s="865" t="s">
        <v>2964</v>
      </c>
      <c r="F361" s="865">
        <v>360</v>
      </c>
    </row>
    <row r="362" spans="1:6" x14ac:dyDescent="0.25">
      <c r="A362" s="865" t="s">
        <v>92</v>
      </c>
      <c r="B362" s="865" t="s">
        <v>547</v>
      </c>
      <c r="C362" s="865" t="s">
        <v>1290</v>
      </c>
      <c r="D362" s="866" t="s">
        <v>2333</v>
      </c>
      <c r="F362" s="862">
        <v>361</v>
      </c>
    </row>
    <row r="363" spans="1:6" ht="91.2" x14ac:dyDescent="0.25">
      <c r="A363" s="865" t="s">
        <v>548</v>
      </c>
      <c r="B363" s="865" t="s">
        <v>549</v>
      </c>
      <c r="C363" s="865" t="s">
        <v>1994</v>
      </c>
      <c r="D363" s="866" t="s">
        <v>2334</v>
      </c>
      <c r="F363" s="865">
        <v>362</v>
      </c>
    </row>
    <row r="364" spans="1:6" ht="136.80000000000001" x14ac:dyDescent="0.25">
      <c r="A364" s="865" t="s">
        <v>246</v>
      </c>
      <c r="B364" s="865" t="s">
        <v>550</v>
      </c>
      <c r="C364" s="865" t="s">
        <v>1896</v>
      </c>
      <c r="D364" s="866" t="s">
        <v>2335</v>
      </c>
      <c r="E364" s="865" t="s">
        <v>2965</v>
      </c>
      <c r="F364" s="862">
        <v>363</v>
      </c>
    </row>
    <row r="365" spans="1:6" ht="114" x14ac:dyDescent="0.25">
      <c r="A365" s="865" t="s">
        <v>247</v>
      </c>
      <c r="B365" s="865" t="s">
        <v>551</v>
      </c>
      <c r="C365" s="865" t="s">
        <v>1995</v>
      </c>
      <c r="D365" s="866" t="s">
        <v>2336</v>
      </c>
      <c r="E365" s="865" t="s">
        <v>2966</v>
      </c>
      <c r="F365" s="865">
        <v>364</v>
      </c>
    </row>
    <row r="366" spans="1:6" ht="216.6" x14ac:dyDescent="0.25">
      <c r="A366" s="862" t="s">
        <v>248</v>
      </c>
      <c r="B366" s="862" t="s">
        <v>2722</v>
      </c>
      <c r="C366" s="862" t="s">
        <v>1358</v>
      </c>
      <c r="D366" s="863" t="s">
        <v>2337</v>
      </c>
      <c r="E366" s="865" t="s">
        <v>2967</v>
      </c>
      <c r="F366" s="862">
        <v>365</v>
      </c>
    </row>
    <row r="367" spans="1:6" ht="79.8" x14ac:dyDescent="0.25">
      <c r="A367" s="865" t="s">
        <v>249</v>
      </c>
      <c r="B367" s="865" t="s">
        <v>1137</v>
      </c>
      <c r="C367" s="865" t="s">
        <v>1359</v>
      </c>
      <c r="D367" s="866" t="s">
        <v>2338</v>
      </c>
      <c r="E367" s="865" t="s">
        <v>2968</v>
      </c>
      <c r="F367" s="865">
        <v>366</v>
      </c>
    </row>
    <row r="368" spans="1:6" ht="68.400000000000006" x14ac:dyDescent="0.25">
      <c r="A368" s="865" t="s">
        <v>250</v>
      </c>
      <c r="B368" s="865" t="s">
        <v>1138</v>
      </c>
      <c r="C368" s="865" t="s">
        <v>1360</v>
      </c>
      <c r="D368" s="866" t="s">
        <v>2339</v>
      </c>
      <c r="E368" s="865" t="s">
        <v>2969</v>
      </c>
      <c r="F368" s="862">
        <v>367</v>
      </c>
    </row>
    <row r="369" spans="1:6" ht="79.8" x14ac:dyDescent="0.25">
      <c r="A369" s="865" t="s">
        <v>251</v>
      </c>
      <c r="B369" s="865" t="s">
        <v>2723</v>
      </c>
      <c r="C369" s="865" t="s">
        <v>3214</v>
      </c>
      <c r="D369" s="866" t="s">
        <v>3403</v>
      </c>
      <c r="E369" s="865" t="s">
        <v>2970</v>
      </c>
      <c r="F369" s="865">
        <v>368</v>
      </c>
    </row>
    <row r="370" spans="1:6" ht="114" x14ac:dyDescent="0.25">
      <c r="A370" s="865" t="s">
        <v>252</v>
      </c>
      <c r="B370" s="865" t="s">
        <v>2724</v>
      </c>
      <c r="C370" s="865" t="s">
        <v>3215</v>
      </c>
      <c r="D370" s="866" t="s">
        <v>3404</v>
      </c>
      <c r="E370" s="865" t="s">
        <v>2971</v>
      </c>
      <c r="F370" s="862">
        <v>369</v>
      </c>
    </row>
    <row r="371" spans="1:6" ht="79.8" x14ac:dyDescent="0.25">
      <c r="A371" s="865" t="s">
        <v>253</v>
      </c>
      <c r="B371" s="865" t="s">
        <v>1139</v>
      </c>
      <c r="C371" s="865" t="s">
        <v>1996</v>
      </c>
      <c r="D371" s="866" t="s">
        <v>2340</v>
      </c>
      <c r="E371" s="865" t="s">
        <v>2972</v>
      </c>
      <c r="F371" s="865">
        <v>370</v>
      </c>
    </row>
    <row r="372" spans="1:6" ht="68.400000000000006" x14ac:dyDescent="0.25">
      <c r="A372" s="865" t="s">
        <v>254</v>
      </c>
      <c r="B372" s="865" t="s">
        <v>2725</v>
      </c>
      <c r="C372" s="865" t="s">
        <v>3216</v>
      </c>
      <c r="D372" s="866" t="s">
        <v>2341</v>
      </c>
      <c r="E372" s="865" t="s">
        <v>2973</v>
      </c>
      <c r="F372" s="862">
        <v>371</v>
      </c>
    </row>
    <row r="373" spans="1:6" s="871" customFormat="1" x14ac:dyDescent="0.25">
      <c r="A373" s="865" t="s">
        <v>94</v>
      </c>
      <c r="B373" s="865" t="s">
        <v>552</v>
      </c>
      <c r="C373" s="865" t="s">
        <v>1291</v>
      </c>
      <c r="D373" s="866" t="s">
        <v>2342</v>
      </c>
      <c r="E373" s="865"/>
      <c r="F373" s="865">
        <v>372</v>
      </c>
    </row>
    <row r="374" spans="1:6" ht="91.2" x14ac:dyDescent="0.25">
      <c r="A374" s="865" t="s">
        <v>553</v>
      </c>
      <c r="B374" s="865" t="s">
        <v>1259</v>
      </c>
      <c r="C374" s="865" t="s">
        <v>780</v>
      </c>
      <c r="D374" s="866" t="s">
        <v>2343</v>
      </c>
      <c r="F374" s="862">
        <v>373</v>
      </c>
    </row>
    <row r="375" spans="1:6" ht="79.8" x14ac:dyDescent="0.2">
      <c r="A375" s="865" t="s">
        <v>255</v>
      </c>
      <c r="B375" s="867" t="s">
        <v>2726</v>
      </c>
      <c r="C375" s="865" t="s">
        <v>3217</v>
      </c>
      <c r="D375" s="866" t="s">
        <v>3405</v>
      </c>
      <c r="E375" s="865" t="s">
        <v>2974</v>
      </c>
      <c r="F375" s="865">
        <v>374</v>
      </c>
    </row>
    <row r="376" spans="1:6" ht="136.80000000000001" x14ac:dyDescent="0.2">
      <c r="A376" s="865" t="s">
        <v>256</v>
      </c>
      <c r="B376" s="867" t="s">
        <v>2727</v>
      </c>
      <c r="C376" s="865" t="s">
        <v>3218</v>
      </c>
      <c r="D376" s="866" t="s">
        <v>3406</v>
      </c>
      <c r="E376" s="865" t="s">
        <v>2975</v>
      </c>
      <c r="F376" s="862">
        <v>375</v>
      </c>
    </row>
    <row r="377" spans="1:6" ht="91.2" x14ac:dyDescent="0.2">
      <c r="A377" s="865" t="s">
        <v>257</v>
      </c>
      <c r="B377" s="867" t="s">
        <v>1140</v>
      </c>
      <c r="C377" s="865" t="s">
        <v>1897</v>
      </c>
      <c r="D377" s="866" t="s">
        <v>2344</v>
      </c>
      <c r="E377" s="865" t="s">
        <v>2976</v>
      </c>
      <c r="F377" s="865">
        <v>376</v>
      </c>
    </row>
    <row r="378" spans="1:6" ht="285" x14ac:dyDescent="0.2">
      <c r="A378" s="865" t="s">
        <v>258</v>
      </c>
      <c r="B378" s="867" t="s">
        <v>1141</v>
      </c>
      <c r="C378" s="865" t="s">
        <v>1621</v>
      </c>
      <c r="D378" s="866" t="s">
        <v>2345</v>
      </c>
      <c r="E378" s="865" t="s">
        <v>2977</v>
      </c>
      <c r="F378" s="862">
        <v>377</v>
      </c>
    </row>
    <row r="379" spans="1:6" ht="136.80000000000001" x14ac:dyDescent="0.2">
      <c r="A379" s="862" t="s">
        <v>259</v>
      </c>
      <c r="B379" s="868" t="s">
        <v>2728</v>
      </c>
      <c r="C379" s="862" t="s">
        <v>3219</v>
      </c>
      <c r="D379" s="863" t="s">
        <v>2346</v>
      </c>
      <c r="E379" s="865" t="s">
        <v>2978</v>
      </c>
      <c r="F379" s="865">
        <v>378</v>
      </c>
    </row>
    <row r="380" spans="1:6" ht="171" x14ac:dyDescent="0.2">
      <c r="A380" s="865" t="s">
        <v>260</v>
      </c>
      <c r="B380" s="867" t="s">
        <v>2729</v>
      </c>
      <c r="C380" s="865" t="s">
        <v>3220</v>
      </c>
      <c r="D380" s="866" t="s">
        <v>3407</v>
      </c>
      <c r="E380" s="865" t="s">
        <v>2979</v>
      </c>
      <c r="F380" s="862">
        <v>379</v>
      </c>
    </row>
    <row r="381" spans="1:6" ht="182.4" x14ac:dyDescent="0.2">
      <c r="A381" s="865" t="s">
        <v>261</v>
      </c>
      <c r="B381" s="867" t="s">
        <v>2730</v>
      </c>
      <c r="C381" s="865" t="s">
        <v>3221</v>
      </c>
      <c r="D381" s="866" t="s">
        <v>2347</v>
      </c>
      <c r="E381" s="865" t="s">
        <v>2980</v>
      </c>
      <c r="F381" s="865">
        <v>380</v>
      </c>
    </row>
    <row r="382" spans="1:6" s="874" customFormat="1" ht="102.6" x14ac:dyDescent="0.2">
      <c r="A382" s="865" t="s">
        <v>262</v>
      </c>
      <c r="B382" s="867" t="s">
        <v>2731</v>
      </c>
      <c r="C382" s="865" t="s">
        <v>3222</v>
      </c>
      <c r="D382" s="866" t="s">
        <v>3408</v>
      </c>
      <c r="E382" s="865" t="s">
        <v>2981</v>
      </c>
      <c r="F382" s="862">
        <v>381</v>
      </c>
    </row>
    <row r="383" spans="1:6" s="871" customFormat="1" ht="171" x14ac:dyDescent="0.2">
      <c r="A383" s="865" t="s">
        <v>263</v>
      </c>
      <c r="B383" s="867" t="s">
        <v>2732</v>
      </c>
      <c r="C383" s="865" t="s">
        <v>3223</v>
      </c>
      <c r="D383" s="866" t="s">
        <v>3409</v>
      </c>
      <c r="E383" s="865" t="s">
        <v>2982</v>
      </c>
      <c r="F383" s="865">
        <v>382</v>
      </c>
    </row>
    <row r="384" spans="1:6" ht="79.8" x14ac:dyDescent="0.2">
      <c r="A384" s="865" t="s">
        <v>265</v>
      </c>
      <c r="B384" s="867" t="s">
        <v>2733</v>
      </c>
      <c r="C384" s="865" t="s">
        <v>3224</v>
      </c>
      <c r="D384" s="866" t="s">
        <v>2348</v>
      </c>
      <c r="E384" s="865" t="s">
        <v>2983</v>
      </c>
      <c r="F384" s="862">
        <v>383</v>
      </c>
    </row>
    <row r="385" spans="1:6" ht="79.8" x14ac:dyDescent="0.2">
      <c r="A385" s="865" t="s">
        <v>974</v>
      </c>
      <c r="B385" s="867" t="s">
        <v>2734</v>
      </c>
      <c r="C385" s="865" t="s">
        <v>3225</v>
      </c>
      <c r="D385" s="866" t="s">
        <v>3410</v>
      </c>
      <c r="E385" s="865" t="s">
        <v>2984</v>
      </c>
      <c r="F385" s="865">
        <v>384</v>
      </c>
    </row>
    <row r="386" spans="1:6" ht="102.6" x14ac:dyDescent="0.2">
      <c r="A386" s="865" t="s">
        <v>2617</v>
      </c>
      <c r="B386" s="867" t="s">
        <v>2735</v>
      </c>
      <c r="C386" s="865" t="s">
        <v>3226</v>
      </c>
      <c r="D386" s="866" t="s">
        <v>3411</v>
      </c>
      <c r="E386" s="865" t="s">
        <v>2985</v>
      </c>
      <c r="F386" s="862">
        <v>385</v>
      </c>
    </row>
    <row r="387" spans="1:6" x14ac:dyDescent="0.2">
      <c r="A387" s="869" t="s">
        <v>96</v>
      </c>
      <c r="B387" s="867" t="s">
        <v>507</v>
      </c>
      <c r="C387" s="865" t="s">
        <v>1292</v>
      </c>
      <c r="D387" s="866" t="s">
        <v>2349</v>
      </c>
      <c r="F387" s="865">
        <v>386</v>
      </c>
    </row>
    <row r="388" spans="1:6" ht="91.2" x14ac:dyDescent="0.2">
      <c r="A388" s="869" t="s">
        <v>554</v>
      </c>
      <c r="B388" s="865" t="s">
        <v>1260</v>
      </c>
      <c r="C388" s="1112" t="s">
        <v>3472</v>
      </c>
      <c r="D388" s="1109" t="s">
        <v>3473</v>
      </c>
      <c r="F388" s="862">
        <v>387</v>
      </c>
    </row>
    <row r="389" spans="1:6" ht="114" x14ac:dyDescent="0.2">
      <c r="A389" s="869" t="s">
        <v>267</v>
      </c>
      <c r="B389" s="867" t="s">
        <v>1142</v>
      </c>
      <c r="C389" s="865" t="s">
        <v>1898</v>
      </c>
      <c r="D389" s="866" t="s">
        <v>2350</v>
      </c>
      <c r="E389" s="865" t="s">
        <v>2986</v>
      </c>
      <c r="F389" s="865">
        <v>388</v>
      </c>
    </row>
    <row r="390" spans="1:6" s="871" customFormat="1" ht="228" x14ac:dyDescent="0.2">
      <c r="A390" s="869" t="s">
        <v>268</v>
      </c>
      <c r="B390" s="867" t="s">
        <v>1143</v>
      </c>
      <c r="C390" s="865" t="s">
        <v>1899</v>
      </c>
      <c r="D390" s="866" t="s">
        <v>2351</v>
      </c>
      <c r="E390" s="865" t="s">
        <v>2987</v>
      </c>
      <c r="F390" s="862">
        <v>389</v>
      </c>
    </row>
    <row r="391" spans="1:6" ht="148.19999999999999" x14ac:dyDescent="0.2">
      <c r="A391" s="869" t="s">
        <v>269</v>
      </c>
      <c r="B391" s="867" t="s">
        <v>1144</v>
      </c>
      <c r="C391" s="865" t="s">
        <v>1900</v>
      </c>
      <c r="D391" s="866" t="s">
        <v>2352</v>
      </c>
      <c r="E391" s="865" t="s">
        <v>2988</v>
      </c>
      <c r="F391" s="865">
        <v>390</v>
      </c>
    </row>
    <row r="392" spans="1:6" ht="136.80000000000001" x14ac:dyDescent="0.2">
      <c r="A392" s="869" t="s">
        <v>270</v>
      </c>
      <c r="B392" s="867" t="s">
        <v>2736</v>
      </c>
      <c r="C392" s="865" t="s">
        <v>3227</v>
      </c>
      <c r="D392" s="866" t="s">
        <v>3412</v>
      </c>
      <c r="E392" s="865" t="s">
        <v>2989</v>
      </c>
      <c r="F392" s="862">
        <v>391</v>
      </c>
    </row>
    <row r="393" spans="1:6" ht="171" x14ac:dyDescent="0.2">
      <c r="A393" s="869" t="s">
        <v>271</v>
      </c>
      <c r="B393" s="867" t="s">
        <v>509</v>
      </c>
      <c r="C393" s="865" t="s">
        <v>1361</v>
      </c>
      <c r="D393" s="866" t="s">
        <v>2353</v>
      </c>
      <c r="E393" s="865" t="s">
        <v>2990</v>
      </c>
      <c r="F393" s="865">
        <v>392</v>
      </c>
    </row>
    <row r="394" spans="1:6" ht="136.80000000000001" x14ac:dyDescent="0.2">
      <c r="A394" s="869" t="s">
        <v>272</v>
      </c>
      <c r="B394" s="867" t="s">
        <v>2737</v>
      </c>
      <c r="C394" s="865" t="s">
        <v>3228</v>
      </c>
      <c r="D394" s="866" t="s">
        <v>3413</v>
      </c>
      <c r="E394" s="865" t="s">
        <v>2991</v>
      </c>
      <c r="F394" s="862">
        <v>393</v>
      </c>
    </row>
    <row r="395" spans="1:6" ht="102.6" x14ac:dyDescent="0.2">
      <c r="A395" s="869" t="s">
        <v>273</v>
      </c>
      <c r="B395" s="867" t="s">
        <v>2738</v>
      </c>
      <c r="C395" s="865" t="s">
        <v>3229</v>
      </c>
      <c r="D395" s="866" t="s">
        <v>3414</v>
      </c>
      <c r="E395" s="865" t="s">
        <v>2992</v>
      </c>
      <c r="F395" s="865">
        <v>394</v>
      </c>
    </row>
    <row r="396" spans="1:6" ht="45.6" x14ac:dyDescent="0.2">
      <c r="A396" s="869" t="s">
        <v>975</v>
      </c>
      <c r="B396" s="867" t="s">
        <v>1148</v>
      </c>
      <c r="C396" s="865" t="s">
        <v>1363</v>
      </c>
      <c r="D396" s="866" t="s">
        <v>2356</v>
      </c>
      <c r="E396" s="865" t="s">
        <v>2993</v>
      </c>
      <c r="F396" s="862">
        <v>395</v>
      </c>
    </row>
    <row r="397" spans="1:6" ht="193.8" x14ac:dyDescent="0.2">
      <c r="A397" s="869" t="s">
        <v>976</v>
      </c>
      <c r="B397" s="867" t="s">
        <v>1145</v>
      </c>
      <c r="C397" s="865" t="s">
        <v>1362</v>
      </c>
      <c r="D397" s="866" t="s">
        <v>2354</v>
      </c>
      <c r="E397" s="865" t="s">
        <v>2994</v>
      </c>
      <c r="F397" s="865">
        <v>396</v>
      </c>
    </row>
    <row r="398" spans="1:6" ht="91.2" x14ac:dyDescent="0.2">
      <c r="A398" s="870" t="s">
        <v>977</v>
      </c>
      <c r="B398" s="868" t="s">
        <v>2739</v>
      </c>
      <c r="C398" s="862" t="s">
        <v>3230</v>
      </c>
      <c r="D398" s="863" t="s">
        <v>3415</v>
      </c>
      <c r="E398" s="865" t="s">
        <v>2995</v>
      </c>
      <c r="F398" s="862">
        <v>397</v>
      </c>
    </row>
    <row r="399" spans="1:6" ht="68.400000000000006" x14ac:dyDescent="0.2">
      <c r="A399" s="869" t="s">
        <v>978</v>
      </c>
      <c r="B399" s="865" t="s">
        <v>1146</v>
      </c>
      <c r="C399" s="865" t="s">
        <v>3231</v>
      </c>
      <c r="D399" s="866" t="s">
        <v>3416</v>
      </c>
      <c r="E399" s="865" t="s">
        <v>2996</v>
      </c>
      <c r="F399" s="865">
        <v>398</v>
      </c>
    </row>
    <row r="400" spans="1:6" ht="148.19999999999999" x14ac:dyDescent="0.2">
      <c r="A400" s="869" t="s">
        <v>979</v>
      </c>
      <c r="B400" s="867" t="s">
        <v>1147</v>
      </c>
      <c r="C400" s="865" t="s">
        <v>1475</v>
      </c>
      <c r="D400" s="866" t="s">
        <v>2355</v>
      </c>
      <c r="E400" s="865" t="s">
        <v>2997</v>
      </c>
      <c r="F400" s="862">
        <v>399</v>
      </c>
    </row>
    <row r="401" spans="1:6" ht="148.19999999999999" x14ac:dyDescent="0.2">
      <c r="A401" s="869" t="s">
        <v>980</v>
      </c>
      <c r="B401" s="867" t="s">
        <v>2740</v>
      </c>
      <c r="C401" s="865" t="s">
        <v>3232</v>
      </c>
      <c r="D401" s="866" t="s">
        <v>3417</v>
      </c>
      <c r="E401" s="865" t="s">
        <v>2998</v>
      </c>
      <c r="F401" s="865">
        <v>400</v>
      </c>
    </row>
    <row r="402" spans="1:6" ht="68.400000000000006" x14ac:dyDescent="0.2">
      <c r="A402" s="869" t="s">
        <v>981</v>
      </c>
      <c r="B402" s="867" t="s">
        <v>2741</v>
      </c>
      <c r="C402" s="865" t="s">
        <v>3233</v>
      </c>
      <c r="D402" s="866" t="s">
        <v>3418</v>
      </c>
      <c r="E402" s="865" t="s">
        <v>2999</v>
      </c>
      <c r="F402" s="862">
        <v>401</v>
      </c>
    </row>
    <row r="403" spans="1:6" ht="136.80000000000001" x14ac:dyDescent="0.2">
      <c r="A403" s="869" t="s">
        <v>982</v>
      </c>
      <c r="B403" s="867" t="s">
        <v>510</v>
      </c>
      <c r="C403" s="865" t="s">
        <v>1364</v>
      </c>
      <c r="D403" s="866" t="s">
        <v>2357</v>
      </c>
      <c r="E403" s="865" t="s">
        <v>3000</v>
      </c>
      <c r="F403" s="865">
        <v>402</v>
      </c>
    </row>
    <row r="404" spans="1:6" ht="148.19999999999999" x14ac:dyDescent="0.2">
      <c r="A404" s="869" t="s">
        <v>983</v>
      </c>
      <c r="B404" s="867" t="s">
        <v>511</v>
      </c>
      <c r="C404" s="865" t="s">
        <v>3234</v>
      </c>
      <c r="D404" s="866" t="s">
        <v>3419</v>
      </c>
      <c r="E404" s="865" t="s">
        <v>3001</v>
      </c>
      <c r="F404" s="862">
        <v>403</v>
      </c>
    </row>
    <row r="405" spans="1:6" x14ac:dyDescent="0.2">
      <c r="A405" s="869" t="s">
        <v>1025</v>
      </c>
      <c r="B405" s="867" t="s">
        <v>397</v>
      </c>
      <c r="C405" s="865" t="s">
        <v>708</v>
      </c>
      <c r="D405" s="866" t="s">
        <v>2087</v>
      </c>
      <c r="F405" s="865">
        <v>404</v>
      </c>
    </row>
    <row r="406" spans="1:6" ht="79.8" x14ac:dyDescent="0.25">
      <c r="A406" s="861" t="s">
        <v>1252</v>
      </c>
      <c r="B406" s="862" t="s">
        <v>399</v>
      </c>
      <c r="C406" s="862" t="s">
        <v>835</v>
      </c>
      <c r="D406" s="863" t="s">
        <v>2088</v>
      </c>
      <c r="F406" s="862">
        <v>405</v>
      </c>
    </row>
    <row r="407" spans="1:6" ht="136.80000000000001" x14ac:dyDescent="0.25">
      <c r="A407" s="864" t="s">
        <v>985</v>
      </c>
      <c r="B407" s="865" t="s">
        <v>1149</v>
      </c>
      <c r="C407" s="865" t="s">
        <v>1365</v>
      </c>
      <c r="D407" s="866" t="s">
        <v>2358</v>
      </c>
      <c r="E407" s="865" t="s">
        <v>3002</v>
      </c>
      <c r="F407" s="865">
        <v>406</v>
      </c>
    </row>
    <row r="408" spans="1:6" ht="216.6" x14ac:dyDescent="0.25">
      <c r="A408" s="861" t="s">
        <v>986</v>
      </c>
      <c r="B408" s="862" t="s">
        <v>555</v>
      </c>
      <c r="C408" s="862" t="s">
        <v>1366</v>
      </c>
      <c r="D408" s="863" t="s">
        <v>2359</v>
      </c>
      <c r="E408" s="865" t="s">
        <v>3003</v>
      </c>
      <c r="F408" s="862">
        <v>407</v>
      </c>
    </row>
    <row r="409" spans="1:6" ht="148.19999999999999" x14ac:dyDescent="0.25">
      <c r="A409" s="864" t="s">
        <v>987</v>
      </c>
      <c r="B409" s="865" t="s">
        <v>1150</v>
      </c>
      <c r="C409" s="865" t="s">
        <v>1987</v>
      </c>
      <c r="D409" s="866" t="s">
        <v>2360</v>
      </c>
      <c r="E409" s="865" t="s">
        <v>3004</v>
      </c>
      <c r="F409" s="865">
        <v>408</v>
      </c>
    </row>
    <row r="410" spans="1:6" ht="125.4" x14ac:dyDescent="0.25">
      <c r="A410" s="864" t="s">
        <v>988</v>
      </c>
      <c r="B410" s="865" t="s">
        <v>1151</v>
      </c>
      <c r="C410" s="865" t="s">
        <v>3235</v>
      </c>
      <c r="D410" s="866" t="s">
        <v>3420</v>
      </c>
      <c r="E410" s="865" t="s">
        <v>3005</v>
      </c>
      <c r="F410" s="862">
        <v>409</v>
      </c>
    </row>
    <row r="411" spans="1:6" ht="171" x14ac:dyDescent="0.25">
      <c r="A411" s="864" t="s">
        <v>989</v>
      </c>
      <c r="B411" s="865" t="s">
        <v>556</v>
      </c>
      <c r="C411" s="865" t="s">
        <v>1367</v>
      </c>
      <c r="D411" s="866" t="s">
        <v>2361</v>
      </c>
      <c r="E411" s="865" t="s">
        <v>3006</v>
      </c>
      <c r="F411" s="865">
        <v>410</v>
      </c>
    </row>
    <row r="412" spans="1:6" ht="34.200000000000003" x14ac:dyDescent="0.25">
      <c r="A412" s="864" t="s">
        <v>990</v>
      </c>
      <c r="B412" s="865" t="s">
        <v>1152</v>
      </c>
      <c r="C412" s="865" t="s">
        <v>1368</v>
      </c>
      <c r="D412" s="866" t="s">
        <v>2362</v>
      </c>
      <c r="E412" s="865" t="s">
        <v>3007</v>
      </c>
      <c r="F412" s="862">
        <v>411</v>
      </c>
    </row>
    <row r="413" spans="1:6" x14ac:dyDescent="0.25">
      <c r="A413" s="864" t="s">
        <v>0</v>
      </c>
      <c r="B413" s="865" t="s">
        <v>1084</v>
      </c>
      <c r="C413" s="865" t="s">
        <v>1462</v>
      </c>
      <c r="D413" s="866" t="s">
        <v>2363</v>
      </c>
      <c r="F413" s="865">
        <v>412</v>
      </c>
    </row>
    <row r="414" spans="1:6" s="874" customFormat="1" ht="91.2" x14ac:dyDescent="0.2">
      <c r="A414" s="864" t="s">
        <v>394</v>
      </c>
      <c r="B414" s="865" t="s">
        <v>1247</v>
      </c>
      <c r="C414" s="865" t="s">
        <v>840</v>
      </c>
      <c r="D414" s="866" t="s">
        <v>2364</v>
      </c>
      <c r="E414" s="865"/>
      <c r="F414" s="862">
        <v>413</v>
      </c>
    </row>
    <row r="415" spans="1:6" x14ac:dyDescent="0.25">
      <c r="A415" s="864" t="s">
        <v>40</v>
      </c>
      <c r="B415" s="865" t="s">
        <v>1229</v>
      </c>
      <c r="C415" s="865" t="s">
        <v>1974</v>
      </c>
      <c r="D415" s="866" t="s">
        <v>2365</v>
      </c>
      <c r="F415" s="865">
        <v>414</v>
      </c>
    </row>
    <row r="416" spans="1:6" s="871" customFormat="1" ht="250.8" x14ac:dyDescent="0.25">
      <c r="A416" s="861" t="s">
        <v>395</v>
      </c>
      <c r="B416" s="865" t="s">
        <v>1248</v>
      </c>
      <c r="C416" s="865" t="s">
        <v>2013</v>
      </c>
      <c r="D416" s="866" t="s">
        <v>2366</v>
      </c>
      <c r="E416" s="865"/>
      <c r="F416" s="862">
        <v>415</v>
      </c>
    </row>
    <row r="417" spans="1:6" ht="125.4" x14ac:dyDescent="0.25">
      <c r="A417" s="864" t="s">
        <v>41</v>
      </c>
      <c r="B417" s="865" t="s">
        <v>1085</v>
      </c>
      <c r="C417" s="865" t="s">
        <v>2014</v>
      </c>
      <c r="D417" s="865" t="s">
        <v>2367</v>
      </c>
      <c r="E417" s="865" t="s">
        <v>3008</v>
      </c>
      <c r="F417" s="865">
        <v>416</v>
      </c>
    </row>
    <row r="418" spans="1:6" s="871" customFormat="1" ht="79.8" x14ac:dyDescent="0.25">
      <c r="A418" s="864" t="s">
        <v>42</v>
      </c>
      <c r="B418" s="865" t="s">
        <v>2742</v>
      </c>
      <c r="C418" s="865" t="s">
        <v>3236</v>
      </c>
      <c r="D418" s="866" t="s">
        <v>2368</v>
      </c>
      <c r="E418" s="865" t="s">
        <v>3009</v>
      </c>
      <c r="F418" s="862">
        <v>417</v>
      </c>
    </row>
    <row r="419" spans="1:6" s="871" customFormat="1" ht="68.400000000000006" x14ac:dyDescent="0.25">
      <c r="A419" s="864" t="s">
        <v>43</v>
      </c>
      <c r="B419" s="865" t="s">
        <v>2743</v>
      </c>
      <c r="C419" s="865" t="s">
        <v>3237</v>
      </c>
      <c r="D419" s="866" t="s">
        <v>3421</v>
      </c>
      <c r="E419" s="865" t="s">
        <v>3010</v>
      </c>
      <c r="F419" s="865">
        <v>418</v>
      </c>
    </row>
    <row r="420" spans="1:6" s="871" customFormat="1" ht="102.6" x14ac:dyDescent="0.25">
      <c r="A420" s="864" t="s">
        <v>45</v>
      </c>
      <c r="B420" s="865" t="s">
        <v>1086</v>
      </c>
      <c r="C420" s="865" t="s">
        <v>1318</v>
      </c>
      <c r="D420" s="866" t="s">
        <v>2369</v>
      </c>
      <c r="E420" s="865" t="s">
        <v>3011</v>
      </c>
      <c r="F420" s="862">
        <v>419</v>
      </c>
    </row>
    <row r="421" spans="1:6" s="871" customFormat="1" ht="79.8" x14ac:dyDescent="0.25">
      <c r="A421" s="864" t="s">
        <v>47</v>
      </c>
      <c r="B421" s="865" t="s">
        <v>1087</v>
      </c>
      <c r="C421" s="865" t="s">
        <v>2015</v>
      </c>
      <c r="D421" s="866" t="s">
        <v>2370</v>
      </c>
      <c r="E421" s="865" t="s">
        <v>3012</v>
      </c>
      <c r="F421" s="865">
        <v>420</v>
      </c>
    </row>
    <row r="422" spans="1:6" ht="79.8" x14ac:dyDescent="0.25">
      <c r="A422" s="864" t="s">
        <v>49</v>
      </c>
      <c r="B422" s="865" t="s">
        <v>2744</v>
      </c>
      <c r="C422" s="865" t="s">
        <v>3238</v>
      </c>
      <c r="D422" s="866" t="s">
        <v>3422</v>
      </c>
      <c r="E422" s="865" t="s">
        <v>3013</v>
      </c>
      <c r="F422" s="862">
        <v>421</v>
      </c>
    </row>
    <row r="423" spans="1:6" ht="148.19999999999999" x14ac:dyDescent="0.25">
      <c r="A423" s="864" t="s">
        <v>51</v>
      </c>
      <c r="B423" s="865" t="s">
        <v>2745</v>
      </c>
      <c r="C423" s="865" t="s">
        <v>3239</v>
      </c>
      <c r="D423" s="866" t="s">
        <v>3423</v>
      </c>
      <c r="E423" s="865" t="s">
        <v>3014</v>
      </c>
      <c r="F423" s="865">
        <v>422</v>
      </c>
    </row>
    <row r="424" spans="1:6" ht="114" x14ac:dyDescent="0.25">
      <c r="A424" s="864" t="s">
        <v>53</v>
      </c>
      <c r="B424" s="865" t="s">
        <v>2746</v>
      </c>
      <c r="C424" s="865" t="s">
        <v>3240</v>
      </c>
      <c r="D424" s="866" t="s">
        <v>3424</v>
      </c>
      <c r="E424" s="865" t="s">
        <v>3015</v>
      </c>
      <c r="F424" s="862">
        <v>423</v>
      </c>
    </row>
    <row r="425" spans="1:6" x14ac:dyDescent="0.25">
      <c r="A425" s="864" t="s">
        <v>44</v>
      </c>
      <c r="B425" s="865" t="s">
        <v>1232</v>
      </c>
      <c r="C425" s="865" t="s">
        <v>1282</v>
      </c>
      <c r="D425" s="866" t="s">
        <v>2371</v>
      </c>
      <c r="F425" s="865">
        <v>424</v>
      </c>
    </row>
    <row r="426" spans="1:6" ht="159.6" x14ac:dyDescent="0.25">
      <c r="A426" s="864" t="s">
        <v>396</v>
      </c>
      <c r="B426" s="865" t="s">
        <v>1249</v>
      </c>
      <c r="C426" s="865" t="s">
        <v>772</v>
      </c>
      <c r="D426" s="866" t="s">
        <v>2372</v>
      </c>
      <c r="F426" s="862">
        <v>425</v>
      </c>
    </row>
    <row r="427" spans="1:6" ht="68.400000000000006" x14ac:dyDescent="0.25">
      <c r="A427" s="864" t="s">
        <v>58</v>
      </c>
      <c r="B427" s="865" t="s">
        <v>1088</v>
      </c>
      <c r="C427" s="865" t="s">
        <v>1901</v>
      </c>
      <c r="D427" s="866" t="s">
        <v>2373</v>
      </c>
      <c r="E427" s="865" t="s">
        <v>3016</v>
      </c>
      <c r="F427" s="865">
        <v>426</v>
      </c>
    </row>
    <row r="428" spans="1:6" ht="91.2" x14ac:dyDescent="0.25">
      <c r="A428" s="864" t="s">
        <v>60</v>
      </c>
      <c r="B428" s="865" t="s">
        <v>2747</v>
      </c>
      <c r="C428" s="865" t="s">
        <v>3241</v>
      </c>
      <c r="D428" s="866" t="s">
        <v>3425</v>
      </c>
      <c r="E428" s="865" t="s">
        <v>3017</v>
      </c>
      <c r="F428" s="862">
        <v>427</v>
      </c>
    </row>
    <row r="429" spans="1:6" ht="79.8" x14ac:dyDescent="0.25">
      <c r="A429" s="864" t="s">
        <v>62</v>
      </c>
      <c r="B429" s="865" t="s">
        <v>1090</v>
      </c>
      <c r="C429" s="865" t="s">
        <v>3242</v>
      </c>
      <c r="D429" s="866" t="s">
        <v>3426</v>
      </c>
      <c r="E429" s="865" t="s">
        <v>3018</v>
      </c>
      <c r="F429" s="865">
        <v>428</v>
      </c>
    </row>
    <row r="430" spans="1:6" ht="102.6" x14ac:dyDescent="0.25">
      <c r="A430" s="864" t="s">
        <v>65</v>
      </c>
      <c r="B430" s="865" t="s">
        <v>1089</v>
      </c>
      <c r="C430" s="865" t="s">
        <v>1319</v>
      </c>
      <c r="D430" s="866" t="s">
        <v>2374</v>
      </c>
      <c r="E430" s="865" t="s">
        <v>3019</v>
      </c>
      <c r="F430" s="862">
        <v>429</v>
      </c>
    </row>
    <row r="431" spans="1:6" ht="91.2" x14ac:dyDescent="0.25">
      <c r="A431" s="861" t="s">
        <v>68</v>
      </c>
      <c r="B431" s="862" t="s">
        <v>1091</v>
      </c>
      <c r="C431" s="862" t="s">
        <v>1320</v>
      </c>
      <c r="D431" s="863" t="s">
        <v>2375</v>
      </c>
      <c r="E431" s="865" t="s">
        <v>3020</v>
      </c>
      <c r="F431" s="865">
        <v>430</v>
      </c>
    </row>
    <row r="432" spans="1:6" ht="148.19999999999999" x14ac:dyDescent="0.25">
      <c r="A432" s="864" t="s">
        <v>945</v>
      </c>
      <c r="B432" s="865" t="s">
        <v>1092</v>
      </c>
      <c r="C432" s="865" t="s">
        <v>1321</v>
      </c>
      <c r="D432" s="866" t="s">
        <v>2376</v>
      </c>
      <c r="E432" s="865" t="s">
        <v>3021</v>
      </c>
      <c r="F432" s="862">
        <v>431</v>
      </c>
    </row>
    <row r="433" spans="1:6" ht="102.6" x14ac:dyDescent="0.25">
      <c r="A433" s="864" t="s">
        <v>946</v>
      </c>
      <c r="B433" s="865" t="s">
        <v>1093</v>
      </c>
      <c r="C433" s="865" t="s">
        <v>1902</v>
      </c>
      <c r="D433" s="866" t="s">
        <v>2377</v>
      </c>
      <c r="E433" s="865" t="s">
        <v>3022</v>
      </c>
      <c r="F433" s="865">
        <v>432</v>
      </c>
    </row>
    <row r="434" spans="1:6" ht="91.2" x14ac:dyDescent="0.25">
      <c r="A434" s="864" t="s">
        <v>947</v>
      </c>
      <c r="B434" s="865" t="s">
        <v>2748</v>
      </c>
      <c r="C434" s="865" t="s">
        <v>3243</v>
      </c>
      <c r="D434" s="866" t="s">
        <v>3427</v>
      </c>
      <c r="E434" s="865" t="s">
        <v>3023</v>
      </c>
      <c r="F434" s="862">
        <v>433</v>
      </c>
    </row>
    <row r="435" spans="1:6" s="871" customFormat="1" ht="91.2" x14ac:dyDescent="0.25">
      <c r="A435" s="864" t="s">
        <v>948</v>
      </c>
      <c r="B435" s="865" t="s">
        <v>2749</v>
      </c>
      <c r="C435" s="865" t="s">
        <v>3244</v>
      </c>
      <c r="D435" s="866" t="s">
        <v>2378</v>
      </c>
      <c r="E435" s="865" t="s">
        <v>3024</v>
      </c>
      <c r="F435" s="865">
        <v>434</v>
      </c>
    </row>
    <row r="436" spans="1:6" ht="91.2" x14ac:dyDescent="0.25">
      <c r="A436" s="864" t="s">
        <v>949</v>
      </c>
      <c r="B436" s="865" t="s">
        <v>1094</v>
      </c>
      <c r="C436" s="865" t="s">
        <v>1997</v>
      </c>
      <c r="D436" s="866" t="s">
        <v>2379</v>
      </c>
      <c r="E436" s="865" t="s">
        <v>3025</v>
      </c>
      <c r="F436" s="862">
        <v>435</v>
      </c>
    </row>
    <row r="437" spans="1:6" ht="91.2" x14ac:dyDescent="0.25">
      <c r="A437" s="864" t="s">
        <v>950</v>
      </c>
      <c r="B437" s="865" t="s">
        <v>1095</v>
      </c>
      <c r="C437" s="865" t="s">
        <v>3486</v>
      </c>
      <c r="D437" s="866" t="s">
        <v>3487</v>
      </c>
      <c r="E437" s="865" t="s">
        <v>3026</v>
      </c>
      <c r="F437" s="865">
        <v>436</v>
      </c>
    </row>
    <row r="438" spans="1:6" ht="102.6" x14ac:dyDescent="0.25">
      <c r="A438" s="864" t="s">
        <v>951</v>
      </c>
      <c r="B438" s="865" t="s">
        <v>2750</v>
      </c>
      <c r="C438" s="865" t="s">
        <v>3245</v>
      </c>
      <c r="D438" s="866" t="s">
        <v>3428</v>
      </c>
      <c r="E438" s="865" t="s">
        <v>3027</v>
      </c>
      <c r="F438" s="862">
        <v>437</v>
      </c>
    </row>
    <row r="439" spans="1:6" ht="91.2" x14ac:dyDescent="0.25">
      <c r="A439" s="864" t="s">
        <v>952</v>
      </c>
      <c r="B439" s="865" t="s">
        <v>2751</v>
      </c>
      <c r="C439" s="865" t="s">
        <v>3246</v>
      </c>
      <c r="D439" s="866" t="s">
        <v>2380</v>
      </c>
      <c r="E439" s="865" t="s">
        <v>3028</v>
      </c>
      <c r="F439" s="865">
        <v>438</v>
      </c>
    </row>
    <row r="440" spans="1:6" x14ac:dyDescent="0.25">
      <c r="A440" s="861" t="s">
        <v>46</v>
      </c>
      <c r="B440" s="862" t="s">
        <v>1236</v>
      </c>
      <c r="C440" s="862" t="s">
        <v>1283</v>
      </c>
      <c r="D440" s="863" t="s">
        <v>2381</v>
      </c>
      <c r="F440" s="862">
        <v>439</v>
      </c>
    </row>
    <row r="441" spans="1:6" ht="91.2" x14ac:dyDescent="0.25">
      <c r="A441" s="864" t="s">
        <v>398</v>
      </c>
      <c r="B441" s="865" t="s">
        <v>1455</v>
      </c>
      <c r="C441" s="865" t="s">
        <v>1998</v>
      </c>
      <c r="D441" s="866" t="s">
        <v>2382</v>
      </c>
      <c r="F441" s="865">
        <v>440</v>
      </c>
    </row>
    <row r="442" spans="1:6" ht="79.8" x14ac:dyDescent="0.25">
      <c r="A442" s="864" t="s">
        <v>70</v>
      </c>
      <c r="B442" s="865" t="s">
        <v>1096</v>
      </c>
      <c r="C442" s="865" t="s">
        <v>1903</v>
      </c>
      <c r="D442" s="866" t="s">
        <v>2383</v>
      </c>
      <c r="E442" s="865" t="s">
        <v>3029</v>
      </c>
      <c r="F442" s="862">
        <v>441</v>
      </c>
    </row>
    <row r="443" spans="1:6" ht="148.19999999999999" x14ac:dyDescent="0.25">
      <c r="A443" s="864" t="s">
        <v>72</v>
      </c>
      <c r="B443" s="865" t="s">
        <v>2752</v>
      </c>
      <c r="C443" s="865" t="s">
        <v>3247</v>
      </c>
      <c r="D443" s="866" t="s">
        <v>3429</v>
      </c>
      <c r="E443" s="865" t="s">
        <v>3030</v>
      </c>
      <c r="F443" s="865">
        <v>442</v>
      </c>
    </row>
    <row r="444" spans="1:6" ht="102.6" x14ac:dyDescent="0.25">
      <c r="A444" s="864" t="s">
        <v>75</v>
      </c>
      <c r="B444" s="865" t="s">
        <v>2753</v>
      </c>
      <c r="C444" s="865" t="s">
        <v>3248</v>
      </c>
      <c r="D444" s="866" t="s">
        <v>3430</v>
      </c>
      <c r="E444" s="865" t="s">
        <v>3031</v>
      </c>
      <c r="F444" s="862">
        <v>443</v>
      </c>
    </row>
    <row r="445" spans="1:6" ht="79.8" x14ac:dyDescent="0.25">
      <c r="A445" s="864" t="s">
        <v>78</v>
      </c>
      <c r="B445" s="865" t="s">
        <v>2754</v>
      </c>
      <c r="C445" s="865" t="s">
        <v>3249</v>
      </c>
      <c r="D445" s="866" t="s">
        <v>2384</v>
      </c>
      <c r="E445" s="865" t="s">
        <v>3032</v>
      </c>
      <c r="F445" s="865">
        <v>444</v>
      </c>
    </row>
    <row r="446" spans="1:6" ht="91.2" x14ac:dyDescent="0.25">
      <c r="A446" s="864" t="s">
        <v>80</v>
      </c>
      <c r="B446" s="865" t="s">
        <v>2755</v>
      </c>
      <c r="C446" s="865" t="s">
        <v>1476</v>
      </c>
      <c r="D446" s="866" t="s">
        <v>2385</v>
      </c>
      <c r="E446" s="865" t="s">
        <v>3033</v>
      </c>
      <c r="F446" s="862">
        <v>445</v>
      </c>
    </row>
    <row r="447" spans="1:6" ht="125.4" x14ac:dyDescent="0.25">
      <c r="A447" s="861" t="s">
        <v>82</v>
      </c>
      <c r="B447" s="862" t="s">
        <v>2756</v>
      </c>
      <c r="C447" s="862" t="s">
        <v>3250</v>
      </c>
      <c r="D447" s="863" t="s">
        <v>3431</v>
      </c>
      <c r="E447" s="865" t="s">
        <v>3034</v>
      </c>
      <c r="F447" s="865">
        <v>446</v>
      </c>
    </row>
    <row r="448" spans="1:6" ht="45.6" x14ac:dyDescent="0.25">
      <c r="A448" s="864" t="s">
        <v>84</v>
      </c>
      <c r="B448" s="865" t="s">
        <v>2757</v>
      </c>
      <c r="C448" s="865" t="s">
        <v>3251</v>
      </c>
      <c r="D448" s="866" t="s">
        <v>2386</v>
      </c>
      <c r="E448" s="865" t="s">
        <v>3035</v>
      </c>
      <c r="F448" s="862">
        <v>447</v>
      </c>
    </row>
    <row r="449" spans="1:6" x14ac:dyDescent="0.25">
      <c r="A449" s="864" t="s">
        <v>1015</v>
      </c>
      <c r="B449" s="865" t="s">
        <v>1238</v>
      </c>
      <c r="C449" s="865" t="s">
        <v>1284</v>
      </c>
      <c r="D449" s="866" t="s">
        <v>2387</v>
      </c>
      <c r="F449" s="865">
        <v>448</v>
      </c>
    </row>
    <row r="450" spans="1:6" s="871" customFormat="1" ht="79.8" x14ac:dyDescent="0.25">
      <c r="A450" s="864" t="s">
        <v>1245</v>
      </c>
      <c r="B450" s="865" t="s">
        <v>1456</v>
      </c>
      <c r="C450" s="865" t="s">
        <v>1457</v>
      </c>
      <c r="D450" s="866" t="s">
        <v>2388</v>
      </c>
      <c r="E450" s="865"/>
      <c r="F450" s="862">
        <v>449</v>
      </c>
    </row>
    <row r="451" spans="1:6" ht="182.4" x14ac:dyDescent="0.25">
      <c r="A451" s="864" t="s">
        <v>953</v>
      </c>
      <c r="B451" s="865" t="s">
        <v>2758</v>
      </c>
      <c r="C451" s="865" t="s">
        <v>3252</v>
      </c>
      <c r="D451" s="866" t="s">
        <v>3432</v>
      </c>
      <c r="E451" s="865" t="s">
        <v>3036</v>
      </c>
      <c r="F451" s="865">
        <v>450</v>
      </c>
    </row>
    <row r="452" spans="1:6" ht="79.8" x14ac:dyDescent="0.25">
      <c r="A452" s="864" t="s">
        <v>954</v>
      </c>
      <c r="B452" s="865" t="s">
        <v>1097</v>
      </c>
      <c r="C452" s="865" t="s">
        <v>1999</v>
      </c>
      <c r="D452" s="866" t="s">
        <v>2389</v>
      </c>
      <c r="E452" s="865" t="s">
        <v>3037</v>
      </c>
      <c r="F452" s="862">
        <v>451</v>
      </c>
    </row>
    <row r="453" spans="1:6" ht="102.6" x14ac:dyDescent="0.25">
      <c r="A453" s="864" t="s">
        <v>955</v>
      </c>
      <c r="B453" s="865" t="s">
        <v>1098</v>
      </c>
      <c r="C453" s="865" t="s">
        <v>1904</v>
      </c>
      <c r="D453" s="866" t="s">
        <v>3433</v>
      </c>
      <c r="E453" s="865" t="s">
        <v>3038</v>
      </c>
      <c r="F453" s="865">
        <v>452</v>
      </c>
    </row>
    <row r="454" spans="1:6" ht="79.8" x14ac:dyDescent="0.25">
      <c r="A454" s="864" t="s">
        <v>956</v>
      </c>
      <c r="B454" s="865" t="s">
        <v>2759</v>
      </c>
      <c r="C454" s="865" t="s">
        <v>1322</v>
      </c>
      <c r="D454" s="866" t="s">
        <v>3434</v>
      </c>
      <c r="E454" s="865" t="s">
        <v>3039</v>
      </c>
      <c r="F454" s="862">
        <v>453</v>
      </c>
    </row>
    <row r="455" spans="1:6" ht="79.8" x14ac:dyDescent="0.25">
      <c r="A455" s="861" t="s">
        <v>957</v>
      </c>
      <c r="B455" s="862" t="s">
        <v>1099</v>
      </c>
      <c r="C455" s="862" t="s">
        <v>1477</v>
      </c>
      <c r="D455" s="863" t="s">
        <v>2390</v>
      </c>
      <c r="E455" s="865" t="s">
        <v>3040</v>
      </c>
      <c r="F455" s="865">
        <v>454</v>
      </c>
    </row>
    <row r="456" spans="1:6" x14ac:dyDescent="0.25">
      <c r="A456" s="864" t="s">
        <v>1016</v>
      </c>
      <c r="B456" s="865" t="s">
        <v>397</v>
      </c>
      <c r="C456" s="865" t="s">
        <v>708</v>
      </c>
      <c r="D456" s="865" t="s">
        <v>2087</v>
      </c>
      <c r="F456" s="862">
        <v>455</v>
      </c>
    </row>
    <row r="457" spans="1:6" ht="79.8" x14ac:dyDescent="0.25">
      <c r="A457" s="861" t="s">
        <v>1246</v>
      </c>
      <c r="B457" s="862" t="s">
        <v>399</v>
      </c>
      <c r="C457" s="862" t="s">
        <v>835</v>
      </c>
      <c r="D457" s="863" t="s">
        <v>2088</v>
      </c>
      <c r="F457" s="865">
        <v>456</v>
      </c>
    </row>
    <row r="458" spans="1:6" ht="79.8" x14ac:dyDescent="0.25">
      <c r="A458" s="864" t="s">
        <v>958</v>
      </c>
      <c r="B458" s="865" t="s">
        <v>1100</v>
      </c>
      <c r="C458" s="865" t="s">
        <v>1323</v>
      </c>
      <c r="D458" s="866" t="s">
        <v>2391</v>
      </c>
      <c r="E458" s="865" t="s">
        <v>3041</v>
      </c>
      <c r="F458" s="862">
        <v>457</v>
      </c>
    </row>
    <row r="459" spans="1:6" s="871" customFormat="1" ht="205.2" x14ac:dyDescent="0.25">
      <c r="A459" s="864" t="s">
        <v>959</v>
      </c>
      <c r="B459" s="865" t="s">
        <v>400</v>
      </c>
      <c r="C459" s="865" t="s">
        <v>1324</v>
      </c>
      <c r="D459" s="866" t="s">
        <v>2392</v>
      </c>
      <c r="E459" s="865" t="s">
        <v>3042</v>
      </c>
      <c r="F459" s="865">
        <v>458</v>
      </c>
    </row>
    <row r="460" spans="1:6" s="871" customFormat="1" ht="136.80000000000001" x14ac:dyDescent="0.25">
      <c r="A460" s="864" t="s">
        <v>960</v>
      </c>
      <c r="B460" s="865" t="s">
        <v>1101</v>
      </c>
      <c r="C460" s="865" t="s">
        <v>1988</v>
      </c>
      <c r="D460" s="866" t="s">
        <v>2393</v>
      </c>
      <c r="E460" s="865" t="s">
        <v>3043</v>
      </c>
      <c r="F460" s="862">
        <v>459</v>
      </c>
    </row>
    <row r="461" spans="1:6" ht="125.4" x14ac:dyDescent="0.25">
      <c r="A461" s="864" t="s">
        <v>961</v>
      </c>
      <c r="B461" s="865" t="s">
        <v>1102</v>
      </c>
      <c r="C461" s="865" t="s">
        <v>1326</v>
      </c>
      <c r="D461" s="866" t="s">
        <v>2395</v>
      </c>
      <c r="E461" s="865" t="s">
        <v>3044</v>
      </c>
      <c r="F461" s="865">
        <v>460</v>
      </c>
    </row>
    <row r="462" spans="1:6" s="874" customFormat="1" ht="136.80000000000001" x14ac:dyDescent="0.2">
      <c r="A462" s="864" t="s">
        <v>962</v>
      </c>
      <c r="B462" s="865" t="s">
        <v>401</v>
      </c>
      <c r="C462" s="865" t="s">
        <v>1325</v>
      </c>
      <c r="D462" s="866" t="s">
        <v>2394</v>
      </c>
      <c r="E462" s="865" t="s">
        <v>3045</v>
      </c>
      <c r="F462" s="862">
        <v>461</v>
      </c>
    </row>
    <row r="463" spans="1:6" ht="34.200000000000003" x14ac:dyDescent="0.25">
      <c r="A463" s="864" t="s">
        <v>963</v>
      </c>
      <c r="B463" s="865" t="s">
        <v>1103</v>
      </c>
      <c r="C463" s="865" t="s">
        <v>1327</v>
      </c>
      <c r="D463" s="866" t="s">
        <v>2396</v>
      </c>
      <c r="E463" s="865" t="s">
        <v>3046</v>
      </c>
      <c r="F463" s="865">
        <v>462</v>
      </c>
    </row>
    <row r="464" spans="1:6" x14ac:dyDescent="0.25">
      <c r="A464" s="861" t="s">
        <v>67</v>
      </c>
      <c r="B464" s="862" t="s">
        <v>1121</v>
      </c>
      <c r="C464" s="862" t="s">
        <v>1463</v>
      </c>
      <c r="D464" s="863" t="s">
        <v>2397</v>
      </c>
      <c r="F464" s="862">
        <v>463</v>
      </c>
    </row>
    <row r="465" spans="1:6" ht="136.80000000000001" x14ac:dyDescent="0.25">
      <c r="A465" s="864" t="s">
        <v>526</v>
      </c>
      <c r="B465" s="865" t="s">
        <v>1270</v>
      </c>
      <c r="C465" s="865" t="s">
        <v>775</v>
      </c>
      <c r="D465" s="866" t="s">
        <v>2398</v>
      </c>
      <c r="F465" s="865">
        <v>464</v>
      </c>
    </row>
    <row r="466" spans="1:6" x14ac:dyDescent="0.25">
      <c r="A466" s="864" t="s">
        <v>81</v>
      </c>
      <c r="B466" s="865" t="s">
        <v>527</v>
      </c>
      <c r="C466" s="865" t="s">
        <v>1286</v>
      </c>
      <c r="D466" s="866" t="s">
        <v>2399</v>
      </c>
      <c r="F466" s="862">
        <v>465</v>
      </c>
    </row>
    <row r="467" spans="1:6" ht="45.6" x14ac:dyDescent="0.25">
      <c r="A467" s="864" t="s">
        <v>528</v>
      </c>
      <c r="B467" s="865" t="s">
        <v>529</v>
      </c>
      <c r="C467" s="865" t="s">
        <v>776</v>
      </c>
      <c r="D467" s="866" t="s">
        <v>2400</v>
      </c>
      <c r="F467" s="865">
        <v>466</v>
      </c>
    </row>
    <row r="468" spans="1:6" s="871" customFormat="1" ht="91.2" x14ac:dyDescent="0.25">
      <c r="A468" s="864" t="s">
        <v>211</v>
      </c>
      <c r="B468" s="865" t="s">
        <v>2760</v>
      </c>
      <c r="C468" s="865" t="s">
        <v>3253</v>
      </c>
      <c r="D468" s="866" t="s">
        <v>3435</v>
      </c>
      <c r="E468" s="865" t="s">
        <v>3047</v>
      </c>
      <c r="F468" s="862">
        <v>467</v>
      </c>
    </row>
    <row r="469" spans="1:6" ht="91.2" x14ac:dyDescent="0.25">
      <c r="A469" s="864" t="s">
        <v>212</v>
      </c>
      <c r="B469" s="865" t="s">
        <v>1122</v>
      </c>
      <c r="C469" s="865" t="s">
        <v>1905</v>
      </c>
      <c r="D469" s="866" t="s">
        <v>2401</v>
      </c>
      <c r="E469" s="865" t="s">
        <v>3048</v>
      </c>
      <c r="F469" s="865">
        <v>468</v>
      </c>
    </row>
    <row r="470" spans="1:6" ht="376.2" x14ac:dyDescent="0.25">
      <c r="A470" s="864" t="s">
        <v>213</v>
      </c>
      <c r="B470" s="865" t="s">
        <v>2761</v>
      </c>
      <c r="C470" s="865" t="s">
        <v>3254</v>
      </c>
      <c r="D470" s="866" t="s">
        <v>3436</v>
      </c>
      <c r="E470" s="865" t="s">
        <v>3049</v>
      </c>
      <c r="F470" s="862">
        <v>469</v>
      </c>
    </row>
    <row r="471" spans="1:6" ht="79.8" x14ac:dyDescent="0.25">
      <c r="A471" s="864" t="s">
        <v>214</v>
      </c>
      <c r="B471" s="865" t="s">
        <v>2762</v>
      </c>
      <c r="C471" s="865" t="s">
        <v>3255</v>
      </c>
      <c r="D471" s="866" t="s">
        <v>3437</v>
      </c>
      <c r="E471" s="865" t="s">
        <v>3050</v>
      </c>
      <c r="F471" s="865">
        <v>470</v>
      </c>
    </row>
    <row r="472" spans="1:6" ht="57" x14ac:dyDescent="0.25">
      <c r="A472" s="864" t="s">
        <v>973</v>
      </c>
      <c r="B472" s="865" t="s">
        <v>530</v>
      </c>
      <c r="C472" s="865" t="s">
        <v>1342</v>
      </c>
      <c r="D472" s="866" t="s">
        <v>2402</v>
      </c>
      <c r="E472" s="865" t="s">
        <v>3051</v>
      </c>
      <c r="F472" s="862">
        <v>471</v>
      </c>
    </row>
    <row r="473" spans="1:6" ht="148.19999999999999" x14ac:dyDescent="0.25">
      <c r="A473" s="864" t="s">
        <v>2618</v>
      </c>
      <c r="B473" s="865" t="s">
        <v>2763</v>
      </c>
      <c r="C473" s="865" t="s">
        <v>3256</v>
      </c>
      <c r="D473" s="866" t="s">
        <v>3438</v>
      </c>
      <c r="E473" s="865" t="s">
        <v>3052</v>
      </c>
      <c r="F473" s="865">
        <v>472</v>
      </c>
    </row>
    <row r="474" spans="1:6" x14ac:dyDescent="0.25">
      <c r="A474" s="864" t="s">
        <v>83</v>
      </c>
      <c r="B474" s="865" t="s">
        <v>531</v>
      </c>
      <c r="C474" s="865" t="s">
        <v>1287</v>
      </c>
      <c r="D474" s="866" t="s">
        <v>2403</v>
      </c>
      <c r="F474" s="862">
        <v>473</v>
      </c>
    </row>
    <row r="475" spans="1:6" s="871" customFormat="1" ht="79.8" x14ac:dyDescent="0.25">
      <c r="A475" s="864" t="s">
        <v>532</v>
      </c>
      <c r="B475" s="865" t="s">
        <v>1261</v>
      </c>
      <c r="C475" s="865" t="s">
        <v>777</v>
      </c>
      <c r="D475" s="866" t="s">
        <v>2404</v>
      </c>
      <c r="E475" s="865"/>
      <c r="F475" s="865">
        <v>474</v>
      </c>
    </row>
    <row r="476" spans="1:6" ht="102.6" x14ac:dyDescent="0.25">
      <c r="A476" s="861" t="s">
        <v>215</v>
      </c>
      <c r="B476" s="862" t="s">
        <v>1123</v>
      </c>
      <c r="C476" s="862" t="s">
        <v>1906</v>
      </c>
      <c r="D476" s="863" t="s">
        <v>2405</v>
      </c>
      <c r="E476" s="865" t="s">
        <v>3053</v>
      </c>
      <c r="F476" s="862">
        <v>475</v>
      </c>
    </row>
    <row r="477" spans="1:6" ht="102.6" x14ac:dyDescent="0.25">
      <c r="A477" s="864" t="s">
        <v>216</v>
      </c>
      <c r="B477" s="865" t="s">
        <v>2764</v>
      </c>
      <c r="C477" s="865" t="s">
        <v>3257</v>
      </c>
      <c r="D477" s="866" t="s">
        <v>3439</v>
      </c>
      <c r="E477" s="865" t="s">
        <v>3054</v>
      </c>
      <c r="F477" s="865">
        <v>476</v>
      </c>
    </row>
    <row r="478" spans="1:6" ht="193.8" x14ac:dyDescent="0.25">
      <c r="A478" s="864" t="s">
        <v>217</v>
      </c>
      <c r="B478" s="865" t="s">
        <v>533</v>
      </c>
      <c r="C478" s="865" t="s">
        <v>1343</v>
      </c>
      <c r="D478" s="866" t="s">
        <v>2406</v>
      </c>
      <c r="E478" s="865" t="s">
        <v>3055</v>
      </c>
      <c r="F478" s="862">
        <v>477</v>
      </c>
    </row>
    <row r="479" spans="1:6" ht="102.6" x14ac:dyDescent="0.25">
      <c r="A479" s="864" t="s">
        <v>218</v>
      </c>
      <c r="B479" s="865" t="s">
        <v>1124</v>
      </c>
      <c r="C479" s="865" t="s">
        <v>1907</v>
      </c>
      <c r="D479" s="866" t="s">
        <v>2407</v>
      </c>
      <c r="E479" s="865" t="s">
        <v>3056</v>
      </c>
      <c r="F479" s="865">
        <v>478</v>
      </c>
    </row>
    <row r="480" spans="1:6" ht="34.200000000000003" x14ac:dyDescent="0.25">
      <c r="A480" s="864" t="s">
        <v>219</v>
      </c>
      <c r="B480" s="865" t="s">
        <v>1125</v>
      </c>
      <c r="C480" s="865" t="s">
        <v>1344</v>
      </c>
      <c r="D480" s="866" t="s">
        <v>2408</v>
      </c>
      <c r="E480" s="865" t="s">
        <v>3057</v>
      </c>
      <c r="F480" s="862">
        <v>479</v>
      </c>
    </row>
    <row r="481" spans="1:6" ht="102.6" x14ac:dyDescent="0.25">
      <c r="A481" s="864" t="s">
        <v>220</v>
      </c>
      <c r="B481" s="865" t="s">
        <v>2765</v>
      </c>
      <c r="C481" s="865" t="s">
        <v>3258</v>
      </c>
      <c r="D481" s="866" t="s">
        <v>3440</v>
      </c>
      <c r="E481" s="865" t="s">
        <v>3058</v>
      </c>
      <c r="F481" s="865">
        <v>480</v>
      </c>
    </row>
    <row r="482" spans="1:6" ht="125.4" x14ac:dyDescent="0.25">
      <c r="A482" s="864" t="s">
        <v>221</v>
      </c>
      <c r="B482" s="865" t="s">
        <v>2766</v>
      </c>
      <c r="C482" s="865" t="s">
        <v>3259</v>
      </c>
      <c r="D482" s="866" t="s">
        <v>3441</v>
      </c>
      <c r="E482" s="865" t="s">
        <v>3059</v>
      </c>
      <c r="F482" s="862">
        <v>481</v>
      </c>
    </row>
    <row r="483" spans="1:6" ht="79.8" x14ac:dyDescent="0.25">
      <c r="A483" s="864" t="s">
        <v>222</v>
      </c>
      <c r="B483" s="865" t="s">
        <v>1126</v>
      </c>
      <c r="C483" s="865" t="s">
        <v>1345</v>
      </c>
      <c r="D483" s="866" t="s">
        <v>2409</v>
      </c>
      <c r="E483" s="865" t="s">
        <v>3060</v>
      </c>
      <c r="F483" s="865">
        <v>482</v>
      </c>
    </row>
    <row r="484" spans="1:6" s="871" customFormat="1" ht="102.6" x14ac:dyDescent="0.25">
      <c r="A484" s="864" t="s">
        <v>223</v>
      </c>
      <c r="B484" s="865" t="s">
        <v>1127</v>
      </c>
      <c r="C484" s="865" t="s">
        <v>3260</v>
      </c>
      <c r="D484" s="866" t="s">
        <v>3442</v>
      </c>
      <c r="E484" s="865" t="s">
        <v>3061</v>
      </c>
      <c r="F484" s="862">
        <v>483</v>
      </c>
    </row>
    <row r="485" spans="1:6" x14ac:dyDescent="0.25">
      <c r="A485" s="864" t="s">
        <v>85</v>
      </c>
      <c r="B485" s="865" t="s">
        <v>534</v>
      </c>
      <c r="C485" s="865" t="s">
        <v>1288</v>
      </c>
      <c r="D485" s="866" t="s">
        <v>2410</v>
      </c>
      <c r="F485" s="865">
        <v>484</v>
      </c>
    </row>
    <row r="486" spans="1:6" ht="79.8" x14ac:dyDescent="0.25">
      <c r="A486" s="861" t="s">
        <v>535</v>
      </c>
      <c r="B486" s="862" t="s">
        <v>536</v>
      </c>
      <c r="C486" s="862" t="s">
        <v>698</v>
      </c>
      <c r="D486" s="863" t="s">
        <v>2411</v>
      </c>
      <c r="F486" s="862">
        <v>485</v>
      </c>
    </row>
    <row r="487" spans="1:6" ht="79.8" x14ac:dyDescent="0.25">
      <c r="A487" s="864" t="s">
        <v>225</v>
      </c>
      <c r="B487" s="865" t="s">
        <v>537</v>
      </c>
      <c r="C487" s="865" t="s">
        <v>1478</v>
      </c>
      <c r="D487" s="866" t="s">
        <v>2412</v>
      </c>
      <c r="E487" s="865" t="s">
        <v>3062</v>
      </c>
      <c r="F487" s="865">
        <v>486</v>
      </c>
    </row>
    <row r="488" spans="1:6" ht="102.6" x14ac:dyDescent="0.25">
      <c r="A488" s="864" t="s">
        <v>226</v>
      </c>
      <c r="B488" s="865" t="s">
        <v>538</v>
      </c>
      <c r="C488" s="865" t="s">
        <v>1346</v>
      </c>
      <c r="D488" s="866" t="s">
        <v>2413</v>
      </c>
      <c r="E488" s="865" t="s">
        <v>3063</v>
      </c>
      <c r="F488" s="862">
        <v>487</v>
      </c>
    </row>
    <row r="489" spans="1:6" ht="102.6" x14ac:dyDescent="0.25">
      <c r="A489" s="864" t="s">
        <v>227</v>
      </c>
      <c r="B489" s="865" t="s">
        <v>539</v>
      </c>
      <c r="C489" s="865" t="s">
        <v>1347</v>
      </c>
      <c r="D489" s="866" t="s">
        <v>2414</v>
      </c>
      <c r="E489" s="865" t="s">
        <v>3064</v>
      </c>
      <c r="F489" s="865">
        <v>488</v>
      </c>
    </row>
    <row r="490" spans="1:6" ht="319.2" x14ac:dyDescent="0.25">
      <c r="A490" s="864" t="s">
        <v>228</v>
      </c>
      <c r="B490" s="865" t="s">
        <v>1128</v>
      </c>
      <c r="C490" s="865" t="s">
        <v>1348</v>
      </c>
      <c r="D490" s="866" t="s">
        <v>2415</v>
      </c>
      <c r="E490" s="865" t="s">
        <v>3065</v>
      </c>
      <c r="F490" s="862">
        <v>489</v>
      </c>
    </row>
    <row r="491" spans="1:6" s="871" customFormat="1" ht="125.4" x14ac:dyDescent="0.25">
      <c r="A491" s="864" t="s">
        <v>229</v>
      </c>
      <c r="B491" s="865" t="s">
        <v>1129</v>
      </c>
      <c r="C491" s="865" t="s">
        <v>1349</v>
      </c>
      <c r="D491" s="866" t="s">
        <v>2416</v>
      </c>
      <c r="E491" s="865" t="s">
        <v>3066</v>
      </c>
      <c r="F491" s="865">
        <v>490</v>
      </c>
    </row>
    <row r="492" spans="1:6" ht="114" x14ac:dyDescent="0.25">
      <c r="A492" s="864" t="s">
        <v>230</v>
      </c>
      <c r="B492" s="865" t="s">
        <v>2767</v>
      </c>
      <c r="C492" s="865" t="s">
        <v>3261</v>
      </c>
      <c r="D492" s="866" t="s">
        <v>3443</v>
      </c>
      <c r="E492" s="865" t="s">
        <v>3067</v>
      </c>
      <c r="F492" s="862">
        <v>491</v>
      </c>
    </row>
    <row r="493" spans="1:6" ht="205.2" x14ac:dyDescent="0.25">
      <c r="A493" s="864" t="s">
        <v>231</v>
      </c>
      <c r="B493" s="865" t="s">
        <v>2768</v>
      </c>
      <c r="C493" s="865" t="s">
        <v>3262</v>
      </c>
      <c r="D493" s="866" t="s">
        <v>3444</v>
      </c>
      <c r="E493" s="865" t="s">
        <v>3068</v>
      </c>
      <c r="F493" s="865">
        <v>492</v>
      </c>
    </row>
    <row r="494" spans="1:6" x14ac:dyDescent="0.2">
      <c r="A494" s="870" t="s">
        <v>87</v>
      </c>
      <c r="B494" s="868" t="s">
        <v>397</v>
      </c>
      <c r="C494" s="862" t="s">
        <v>708</v>
      </c>
      <c r="D494" s="863" t="s">
        <v>2087</v>
      </c>
      <c r="F494" s="862">
        <v>493</v>
      </c>
    </row>
    <row r="495" spans="1:6" ht="68.400000000000006" x14ac:dyDescent="0.2">
      <c r="A495" s="869" t="s">
        <v>540</v>
      </c>
      <c r="B495" s="867" t="s">
        <v>399</v>
      </c>
      <c r="C495" s="865" t="s">
        <v>835</v>
      </c>
      <c r="D495" s="866" t="s">
        <v>2088</v>
      </c>
      <c r="F495" s="865">
        <v>494</v>
      </c>
    </row>
    <row r="496" spans="1:6" s="874" customFormat="1" ht="79.8" x14ac:dyDescent="0.2">
      <c r="A496" s="862" t="s">
        <v>233</v>
      </c>
      <c r="B496" s="862" t="s">
        <v>1130</v>
      </c>
      <c r="C496" s="862" t="s">
        <v>1350</v>
      </c>
      <c r="D496" s="863" t="s">
        <v>2417</v>
      </c>
      <c r="E496" s="865" t="s">
        <v>3069</v>
      </c>
      <c r="F496" s="862">
        <v>495</v>
      </c>
    </row>
    <row r="497" spans="1:6" s="874" customFormat="1" ht="193.8" x14ac:dyDescent="0.2">
      <c r="A497" s="865" t="s">
        <v>234</v>
      </c>
      <c r="B497" s="865" t="s">
        <v>541</v>
      </c>
      <c r="C497" s="865" t="s">
        <v>1351</v>
      </c>
      <c r="D497" s="866" t="s">
        <v>2418</v>
      </c>
      <c r="E497" s="865" t="s">
        <v>3070</v>
      </c>
      <c r="F497" s="865">
        <v>496</v>
      </c>
    </row>
    <row r="498" spans="1:6" ht="159.6" x14ac:dyDescent="0.25">
      <c r="A498" s="865" t="s">
        <v>235</v>
      </c>
      <c r="B498" s="865" t="s">
        <v>1131</v>
      </c>
      <c r="C498" s="865" t="s">
        <v>1908</v>
      </c>
      <c r="D498" s="866" t="s">
        <v>2419</v>
      </c>
      <c r="E498" s="865" t="s">
        <v>3071</v>
      </c>
      <c r="F498" s="862">
        <v>497</v>
      </c>
    </row>
    <row r="499" spans="1:6" ht="125.4" x14ac:dyDescent="0.25">
      <c r="A499" s="865" t="s">
        <v>236</v>
      </c>
      <c r="B499" s="865" t="s">
        <v>1132</v>
      </c>
      <c r="C499" s="865" t="s">
        <v>1353</v>
      </c>
      <c r="D499" s="866" t="s">
        <v>2421</v>
      </c>
      <c r="E499" s="865" t="s">
        <v>3072</v>
      </c>
      <c r="F499" s="865">
        <v>498</v>
      </c>
    </row>
    <row r="500" spans="1:6" s="871" customFormat="1" ht="125.4" x14ac:dyDescent="0.25">
      <c r="A500" s="865" t="s">
        <v>237</v>
      </c>
      <c r="B500" s="865" t="s">
        <v>542</v>
      </c>
      <c r="C500" s="865" t="s">
        <v>1352</v>
      </c>
      <c r="D500" s="866" t="s">
        <v>2420</v>
      </c>
      <c r="E500" s="865" t="s">
        <v>3073</v>
      </c>
      <c r="F500" s="862">
        <v>499</v>
      </c>
    </row>
    <row r="501" spans="1:6" ht="34.200000000000003" x14ac:dyDescent="0.25">
      <c r="A501" s="865" t="s">
        <v>238</v>
      </c>
      <c r="B501" s="865" t="s">
        <v>1133</v>
      </c>
      <c r="C501" s="865" t="s">
        <v>1354</v>
      </c>
      <c r="D501" s="866" t="s">
        <v>2422</v>
      </c>
      <c r="E501" s="865" t="s">
        <v>3074</v>
      </c>
      <c r="F501" s="865">
        <v>500</v>
      </c>
    </row>
    <row r="502" spans="1:6" s="871" customFormat="1" x14ac:dyDescent="0.25">
      <c r="A502" s="865" t="s">
        <v>2619</v>
      </c>
      <c r="B502" s="865" t="s">
        <v>1153</v>
      </c>
      <c r="C502" s="865" t="s">
        <v>3488</v>
      </c>
      <c r="D502" s="866" t="s">
        <v>3489</v>
      </c>
      <c r="E502" s="865"/>
      <c r="F502" s="862">
        <v>501</v>
      </c>
    </row>
    <row r="503" spans="1:6" ht="262.2" x14ac:dyDescent="0.25">
      <c r="A503" s="862" t="s">
        <v>2620</v>
      </c>
      <c r="B503" s="862" t="s">
        <v>1269</v>
      </c>
      <c r="C503" s="862" t="s">
        <v>773</v>
      </c>
      <c r="D503" s="863" t="s">
        <v>2423</v>
      </c>
      <c r="F503" s="865">
        <v>502</v>
      </c>
    </row>
    <row r="504" spans="1:6" x14ac:dyDescent="0.25">
      <c r="A504" s="865" t="s">
        <v>2621</v>
      </c>
      <c r="B504" s="865" t="s">
        <v>1230</v>
      </c>
      <c r="C504" s="865" t="s">
        <v>2016</v>
      </c>
      <c r="D504" s="866" t="s">
        <v>2424</v>
      </c>
      <c r="F504" s="862">
        <v>503</v>
      </c>
    </row>
    <row r="505" spans="1:6" ht="57" x14ac:dyDescent="0.25">
      <c r="A505" s="865" t="s">
        <v>2622</v>
      </c>
      <c r="B505" s="865" t="s">
        <v>1262</v>
      </c>
      <c r="C505" s="865" t="s">
        <v>774</v>
      </c>
      <c r="D505" s="866" t="s">
        <v>2425</v>
      </c>
      <c r="F505" s="865">
        <v>504</v>
      </c>
    </row>
    <row r="506" spans="1:6" ht="91.2" x14ac:dyDescent="0.25">
      <c r="A506" s="865" t="s">
        <v>2623</v>
      </c>
      <c r="B506" s="865" t="s">
        <v>1154</v>
      </c>
      <c r="C506" s="865" t="s">
        <v>2017</v>
      </c>
      <c r="D506" s="866" t="s">
        <v>2426</v>
      </c>
      <c r="E506" s="865" t="s">
        <v>3075</v>
      </c>
      <c r="F506" s="862">
        <v>505</v>
      </c>
    </row>
    <row r="507" spans="1:6" ht="91.2" x14ac:dyDescent="0.25">
      <c r="A507" s="865" t="s">
        <v>2624</v>
      </c>
      <c r="B507" s="865" t="s">
        <v>2769</v>
      </c>
      <c r="C507" s="865" t="s">
        <v>3263</v>
      </c>
      <c r="D507" s="866" t="s">
        <v>3445</v>
      </c>
      <c r="E507" s="865" t="s">
        <v>3076</v>
      </c>
      <c r="F507" s="865">
        <v>506</v>
      </c>
    </row>
    <row r="508" spans="1:6" ht="79.8" x14ac:dyDescent="0.25">
      <c r="A508" s="865" t="s">
        <v>2625</v>
      </c>
      <c r="B508" s="865" t="s">
        <v>2770</v>
      </c>
      <c r="C508" s="865" t="s">
        <v>3264</v>
      </c>
      <c r="D508" s="866" t="s">
        <v>3446</v>
      </c>
      <c r="E508" s="865" t="s">
        <v>3077</v>
      </c>
      <c r="F508" s="862">
        <v>507</v>
      </c>
    </row>
    <row r="509" spans="1:6" s="874" customFormat="1" ht="102.6" x14ac:dyDescent="0.2">
      <c r="A509" s="865" t="s">
        <v>2626</v>
      </c>
      <c r="B509" s="865" t="s">
        <v>1155</v>
      </c>
      <c r="C509" s="865" t="s">
        <v>2018</v>
      </c>
      <c r="D509" s="866" t="s">
        <v>2427</v>
      </c>
      <c r="E509" s="865" t="s">
        <v>3078</v>
      </c>
      <c r="F509" s="865">
        <v>508</v>
      </c>
    </row>
    <row r="510" spans="1:6" ht="91.2" x14ac:dyDescent="0.25">
      <c r="A510" s="865" t="s">
        <v>2627</v>
      </c>
      <c r="B510" s="865" t="s">
        <v>1156</v>
      </c>
      <c r="C510" s="865" t="s">
        <v>2019</v>
      </c>
      <c r="D510" s="866" t="s">
        <v>2428</v>
      </c>
      <c r="E510" s="865" t="s">
        <v>3079</v>
      </c>
      <c r="F510" s="862">
        <v>509</v>
      </c>
    </row>
    <row r="511" spans="1:6" ht="91.2" x14ac:dyDescent="0.25">
      <c r="A511" s="865" t="s">
        <v>2628</v>
      </c>
      <c r="B511" s="865" t="s">
        <v>1157</v>
      </c>
      <c r="C511" s="865" t="s">
        <v>2020</v>
      </c>
      <c r="D511" s="866" t="s">
        <v>2429</v>
      </c>
      <c r="E511" s="865" t="s">
        <v>3080</v>
      </c>
      <c r="F511" s="865">
        <v>510</v>
      </c>
    </row>
    <row r="512" spans="1:6" x14ac:dyDescent="0.25">
      <c r="A512" s="865" t="s">
        <v>2629</v>
      </c>
      <c r="B512" s="865" t="s">
        <v>1233</v>
      </c>
      <c r="C512" s="865" t="s">
        <v>2021</v>
      </c>
      <c r="D512" s="866" t="s">
        <v>2430</v>
      </c>
      <c r="F512" s="862">
        <v>511</v>
      </c>
    </row>
    <row r="513" spans="1:6" s="871" customFormat="1" ht="148.19999999999999" x14ac:dyDescent="0.25">
      <c r="A513" s="865" t="s">
        <v>2630</v>
      </c>
      <c r="B513" s="865" t="s">
        <v>1263</v>
      </c>
      <c r="C513" s="865" t="s">
        <v>839</v>
      </c>
      <c r="D513" s="866" t="s">
        <v>2431</v>
      </c>
      <c r="E513" s="865"/>
      <c r="F513" s="865">
        <v>512</v>
      </c>
    </row>
    <row r="514" spans="1:6" ht="68.400000000000006" x14ac:dyDescent="0.25">
      <c r="A514" s="865" t="s">
        <v>2631</v>
      </c>
      <c r="B514" s="865" t="s">
        <v>1158</v>
      </c>
      <c r="C514" s="865" t="s">
        <v>2022</v>
      </c>
      <c r="D514" s="866" t="s">
        <v>2432</v>
      </c>
      <c r="E514" s="865" t="s">
        <v>3081</v>
      </c>
      <c r="F514" s="862">
        <v>513</v>
      </c>
    </row>
    <row r="515" spans="1:6" ht="79.8" x14ac:dyDescent="0.25">
      <c r="A515" s="865" t="s">
        <v>2632</v>
      </c>
      <c r="B515" s="865" t="s">
        <v>1159</v>
      </c>
      <c r="C515" s="865" t="s">
        <v>2000</v>
      </c>
      <c r="D515" s="866" t="s">
        <v>2433</v>
      </c>
      <c r="E515" s="865" t="s">
        <v>3082</v>
      </c>
      <c r="F515" s="865">
        <v>514</v>
      </c>
    </row>
    <row r="516" spans="1:6" ht="342" x14ac:dyDescent="0.25">
      <c r="A516" s="862" t="s">
        <v>2633</v>
      </c>
      <c r="B516" s="862" t="s">
        <v>1160</v>
      </c>
      <c r="C516" s="862" t="s">
        <v>2023</v>
      </c>
      <c r="D516" s="863" t="s">
        <v>2434</v>
      </c>
      <c r="E516" s="865" t="s">
        <v>3083</v>
      </c>
      <c r="F516" s="862">
        <v>515</v>
      </c>
    </row>
    <row r="517" spans="1:6" ht="102.6" x14ac:dyDescent="0.25">
      <c r="A517" s="865" t="s">
        <v>2634</v>
      </c>
      <c r="B517" s="865" t="s">
        <v>1161</v>
      </c>
      <c r="C517" s="865" t="s">
        <v>2024</v>
      </c>
      <c r="D517" s="866" t="s">
        <v>2435</v>
      </c>
      <c r="E517" s="865" t="s">
        <v>3084</v>
      </c>
      <c r="F517" s="865">
        <v>516</v>
      </c>
    </row>
    <row r="518" spans="1:6" ht="125.4" x14ac:dyDescent="0.25">
      <c r="A518" s="865" t="s">
        <v>2635</v>
      </c>
      <c r="B518" s="865" t="s">
        <v>1162</v>
      </c>
      <c r="C518" s="865" t="s">
        <v>2025</v>
      </c>
      <c r="D518" s="866" t="s">
        <v>2436</v>
      </c>
      <c r="E518" s="865" t="s">
        <v>3085</v>
      </c>
      <c r="F518" s="862">
        <v>517</v>
      </c>
    </row>
    <row r="519" spans="1:6" ht="182.4" x14ac:dyDescent="0.25">
      <c r="A519" s="865" t="s">
        <v>2636</v>
      </c>
      <c r="B519" s="865" t="s">
        <v>2771</v>
      </c>
      <c r="C519" s="865" t="s">
        <v>3265</v>
      </c>
      <c r="D519" s="866" t="s">
        <v>2437</v>
      </c>
      <c r="E519" s="865" t="s">
        <v>3086</v>
      </c>
      <c r="F519" s="865">
        <v>518</v>
      </c>
    </row>
    <row r="520" spans="1:6" ht="91.2" x14ac:dyDescent="0.25">
      <c r="A520" s="865" t="s">
        <v>2637</v>
      </c>
      <c r="B520" s="865" t="s">
        <v>1163</v>
      </c>
      <c r="C520" s="865" t="s">
        <v>2026</v>
      </c>
      <c r="D520" s="866" t="s">
        <v>2438</v>
      </c>
      <c r="E520" s="865" t="s">
        <v>3087</v>
      </c>
      <c r="F520" s="862">
        <v>519</v>
      </c>
    </row>
    <row r="521" spans="1:6" ht="159.6" x14ac:dyDescent="0.25">
      <c r="A521" s="865" t="s">
        <v>2638</v>
      </c>
      <c r="B521" s="865" t="s">
        <v>1164</v>
      </c>
      <c r="C521" s="865" t="s">
        <v>2027</v>
      </c>
      <c r="D521" s="866" t="s">
        <v>2439</v>
      </c>
      <c r="E521" s="865" t="s">
        <v>3088</v>
      </c>
      <c r="F521" s="865">
        <v>520</v>
      </c>
    </row>
    <row r="522" spans="1:6" ht="91.2" x14ac:dyDescent="0.25">
      <c r="A522" s="865" t="s">
        <v>2639</v>
      </c>
      <c r="B522" s="865" t="s">
        <v>2772</v>
      </c>
      <c r="C522" s="865" t="s">
        <v>3266</v>
      </c>
      <c r="D522" s="866" t="s">
        <v>2440</v>
      </c>
      <c r="E522" s="865" t="s">
        <v>3089</v>
      </c>
      <c r="F522" s="862">
        <v>521</v>
      </c>
    </row>
    <row r="523" spans="1:6" ht="159.6" x14ac:dyDescent="0.25">
      <c r="A523" s="865" t="s">
        <v>2640</v>
      </c>
      <c r="B523" s="865" t="s">
        <v>1165</v>
      </c>
      <c r="C523" s="865" t="s">
        <v>1369</v>
      </c>
      <c r="D523" s="866" t="s">
        <v>2441</v>
      </c>
      <c r="E523" s="865" t="s">
        <v>3090</v>
      </c>
      <c r="F523" s="865">
        <v>522</v>
      </c>
    </row>
    <row r="524" spans="1:6" ht="125.4" x14ac:dyDescent="0.25">
      <c r="A524" s="861" t="s">
        <v>2641</v>
      </c>
      <c r="B524" s="862" t="s">
        <v>2773</v>
      </c>
      <c r="C524" s="862" t="s">
        <v>3267</v>
      </c>
      <c r="D524" s="863" t="s">
        <v>3447</v>
      </c>
      <c r="E524" s="865" t="s">
        <v>3091</v>
      </c>
      <c r="F524" s="862">
        <v>523</v>
      </c>
    </row>
    <row r="525" spans="1:6" ht="171" x14ac:dyDescent="0.25">
      <c r="A525" s="864" t="s">
        <v>2642</v>
      </c>
      <c r="B525" s="865" t="s">
        <v>2774</v>
      </c>
      <c r="C525" s="865" t="s">
        <v>3268</v>
      </c>
      <c r="D525" s="866" t="s">
        <v>3448</v>
      </c>
      <c r="E525" s="865" t="s">
        <v>3092</v>
      </c>
      <c r="F525" s="865">
        <v>524</v>
      </c>
    </row>
    <row r="526" spans="1:6" ht="102.6" x14ac:dyDescent="0.25">
      <c r="A526" s="861" t="s">
        <v>2643</v>
      </c>
      <c r="B526" s="862" t="s">
        <v>2775</v>
      </c>
      <c r="C526" s="862" t="s">
        <v>1370</v>
      </c>
      <c r="D526" s="863" t="s">
        <v>2442</v>
      </c>
      <c r="E526" s="865" t="s">
        <v>3093</v>
      </c>
      <c r="F526" s="862">
        <v>525</v>
      </c>
    </row>
    <row r="527" spans="1:6" x14ac:dyDescent="0.25">
      <c r="A527" s="864" t="s">
        <v>2644</v>
      </c>
      <c r="B527" s="865" t="s">
        <v>397</v>
      </c>
      <c r="C527" s="865" t="s">
        <v>708</v>
      </c>
      <c r="D527" s="866" t="s">
        <v>2087</v>
      </c>
      <c r="F527" s="865">
        <v>526</v>
      </c>
    </row>
    <row r="528" spans="1:6" ht="68.400000000000006" x14ac:dyDescent="0.25">
      <c r="A528" s="864" t="s">
        <v>2645</v>
      </c>
      <c r="B528" s="865" t="s">
        <v>399</v>
      </c>
      <c r="C528" s="865" t="s">
        <v>835</v>
      </c>
      <c r="D528" s="866" t="s">
        <v>2088</v>
      </c>
      <c r="F528" s="862">
        <v>527</v>
      </c>
    </row>
    <row r="529" spans="1:6" s="871" customFormat="1" ht="79.8" x14ac:dyDescent="0.25">
      <c r="A529" s="864" t="s">
        <v>2646</v>
      </c>
      <c r="B529" s="865" t="s">
        <v>2776</v>
      </c>
      <c r="C529" s="865" t="s">
        <v>3269</v>
      </c>
      <c r="D529" s="866" t="s">
        <v>3490</v>
      </c>
      <c r="E529" s="865" t="s">
        <v>3094</v>
      </c>
      <c r="F529" s="865">
        <v>528</v>
      </c>
    </row>
    <row r="530" spans="1:6" ht="205.2" x14ac:dyDescent="0.25">
      <c r="A530" s="864" t="s">
        <v>2647</v>
      </c>
      <c r="B530" s="865" t="s">
        <v>1166</v>
      </c>
      <c r="C530" s="865" t="s">
        <v>3491</v>
      </c>
      <c r="D530" s="866" t="s">
        <v>3492</v>
      </c>
      <c r="E530" s="865" t="s">
        <v>3095</v>
      </c>
      <c r="F530" s="862">
        <v>529</v>
      </c>
    </row>
    <row r="531" spans="1:6" ht="148.19999999999999" x14ac:dyDescent="0.25">
      <c r="A531" s="864" t="s">
        <v>2648</v>
      </c>
      <c r="B531" s="865" t="s">
        <v>1167</v>
      </c>
      <c r="C531" s="865" t="s">
        <v>3493</v>
      </c>
      <c r="D531" s="866" t="s">
        <v>3494</v>
      </c>
      <c r="E531" s="865" t="s">
        <v>3096</v>
      </c>
      <c r="F531" s="865">
        <v>530</v>
      </c>
    </row>
    <row r="532" spans="1:6" ht="125.4" x14ac:dyDescent="0.25">
      <c r="A532" s="864" t="s">
        <v>2649</v>
      </c>
      <c r="B532" s="865" t="s">
        <v>2777</v>
      </c>
      <c r="C532" s="865" t="s">
        <v>3270</v>
      </c>
      <c r="D532" s="866" t="s">
        <v>3497</v>
      </c>
      <c r="E532" s="865" t="s">
        <v>3097</v>
      </c>
      <c r="F532" s="862">
        <v>531</v>
      </c>
    </row>
    <row r="533" spans="1:6" ht="136.80000000000001" x14ac:dyDescent="0.25">
      <c r="A533" s="864" t="s">
        <v>2650</v>
      </c>
      <c r="B533" s="865" t="s">
        <v>1168</v>
      </c>
      <c r="C533" s="865" t="s">
        <v>3271</v>
      </c>
      <c r="D533" s="866" t="s">
        <v>3498</v>
      </c>
      <c r="E533" s="865" t="s">
        <v>3098</v>
      </c>
      <c r="F533" s="865">
        <v>532</v>
      </c>
    </row>
    <row r="534" spans="1:6" ht="34.200000000000003" x14ac:dyDescent="0.25">
      <c r="A534" s="864" t="s">
        <v>2651</v>
      </c>
      <c r="B534" s="865" t="s">
        <v>1169</v>
      </c>
      <c r="C534" s="865" t="s">
        <v>3495</v>
      </c>
      <c r="D534" s="866" t="s">
        <v>3496</v>
      </c>
      <c r="E534" s="865" t="s">
        <v>3099</v>
      </c>
      <c r="F534" s="862">
        <v>533</v>
      </c>
    </row>
    <row r="535" spans="1:6" x14ac:dyDescent="0.25">
      <c r="A535" s="864" t="s">
        <v>64</v>
      </c>
      <c r="B535" s="865" t="s">
        <v>1070</v>
      </c>
      <c r="C535" s="865" t="s">
        <v>1464</v>
      </c>
      <c r="D535" s="866" t="s">
        <v>2443</v>
      </c>
      <c r="F535" s="865">
        <v>534</v>
      </c>
    </row>
    <row r="536" spans="1:6" ht="205.2" x14ac:dyDescent="0.25">
      <c r="A536" s="864" t="s">
        <v>513</v>
      </c>
      <c r="B536" s="865" t="s">
        <v>1243</v>
      </c>
      <c r="C536" s="865" t="s">
        <v>2001</v>
      </c>
      <c r="D536" s="866" t="s">
        <v>2444</v>
      </c>
      <c r="F536" s="862">
        <v>535</v>
      </c>
    </row>
    <row r="537" spans="1:6" x14ac:dyDescent="0.25">
      <c r="A537" s="864" t="s">
        <v>71</v>
      </c>
      <c r="B537" s="865" t="s">
        <v>518</v>
      </c>
      <c r="C537" s="865" t="s">
        <v>1280</v>
      </c>
      <c r="D537" s="866" t="s">
        <v>2445</v>
      </c>
      <c r="F537" s="865">
        <v>536</v>
      </c>
    </row>
    <row r="538" spans="1:6" ht="114" x14ac:dyDescent="0.25">
      <c r="A538" s="864" t="s">
        <v>514</v>
      </c>
      <c r="B538" s="865" t="s">
        <v>1244</v>
      </c>
      <c r="C538" s="865" t="s">
        <v>2002</v>
      </c>
      <c r="D538" s="866" t="s">
        <v>2446</v>
      </c>
      <c r="F538" s="862">
        <v>537</v>
      </c>
    </row>
    <row r="539" spans="1:6" ht="159.6" x14ac:dyDescent="0.25">
      <c r="A539" s="864" t="s">
        <v>175</v>
      </c>
      <c r="B539" s="865" t="s">
        <v>1071</v>
      </c>
      <c r="C539" s="865" t="s">
        <v>1909</v>
      </c>
      <c r="D539" s="866" t="s">
        <v>2447</v>
      </c>
      <c r="E539" s="865" t="s">
        <v>3100</v>
      </c>
      <c r="F539" s="865">
        <v>538</v>
      </c>
    </row>
    <row r="540" spans="1:6" ht="79.8" x14ac:dyDescent="0.25">
      <c r="A540" s="861" t="s">
        <v>176</v>
      </c>
      <c r="B540" s="862" t="s">
        <v>520</v>
      </c>
      <c r="C540" s="862" t="s">
        <v>1910</v>
      </c>
      <c r="D540" s="863" t="s">
        <v>2448</v>
      </c>
      <c r="E540" s="865" t="s">
        <v>3101</v>
      </c>
      <c r="F540" s="862">
        <v>539</v>
      </c>
    </row>
    <row r="541" spans="1:6" ht="79.8" x14ac:dyDescent="0.25">
      <c r="A541" s="864" t="s">
        <v>177</v>
      </c>
      <c r="B541" s="865" t="s">
        <v>1072</v>
      </c>
      <c r="C541" s="865" t="s">
        <v>1911</v>
      </c>
      <c r="D541" s="866" t="s">
        <v>2449</v>
      </c>
      <c r="E541" s="865" t="s">
        <v>3102</v>
      </c>
      <c r="F541" s="865">
        <v>540</v>
      </c>
    </row>
    <row r="542" spans="1:6" ht="136.80000000000001" x14ac:dyDescent="0.25">
      <c r="A542" s="864" t="s">
        <v>178</v>
      </c>
      <c r="B542" s="865" t="s">
        <v>1073</v>
      </c>
      <c r="C542" s="865" t="s">
        <v>1912</v>
      </c>
      <c r="D542" s="866" t="s">
        <v>2450</v>
      </c>
      <c r="E542" s="865" t="s">
        <v>3103</v>
      </c>
      <c r="F542" s="862">
        <v>541</v>
      </c>
    </row>
    <row r="543" spans="1:6" ht="91.2" x14ac:dyDescent="0.25">
      <c r="A543" s="864" t="s">
        <v>179</v>
      </c>
      <c r="B543" s="865" t="s">
        <v>2778</v>
      </c>
      <c r="C543" s="865" t="s">
        <v>3272</v>
      </c>
      <c r="D543" s="866" t="s">
        <v>3449</v>
      </c>
      <c r="E543" s="865" t="s">
        <v>3104</v>
      </c>
      <c r="F543" s="865">
        <v>542</v>
      </c>
    </row>
    <row r="544" spans="1:6" ht="102.6" x14ac:dyDescent="0.25">
      <c r="A544" s="864" t="s">
        <v>180</v>
      </c>
      <c r="B544" s="865" t="s">
        <v>1074</v>
      </c>
      <c r="C544" s="865" t="s">
        <v>1308</v>
      </c>
      <c r="D544" s="866" t="s">
        <v>2451</v>
      </c>
      <c r="E544" s="865" t="s">
        <v>3105</v>
      </c>
      <c r="F544" s="862">
        <v>543</v>
      </c>
    </row>
    <row r="545" spans="1:6" s="874" customFormat="1" ht="159.6" x14ac:dyDescent="0.2">
      <c r="A545" s="864" t="s">
        <v>181</v>
      </c>
      <c r="B545" s="865" t="s">
        <v>1075</v>
      </c>
      <c r="C545" s="865" t="s">
        <v>1309</v>
      </c>
      <c r="D545" s="866" t="s">
        <v>2452</v>
      </c>
      <c r="E545" s="865" t="s">
        <v>3106</v>
      </c>
      <c r="F545" s="865">
        <v>544</v>
      </c>
    </row>
    <row r="546" spans="1:6" ht="34.200000000000003" x14ac:dyDescent="0.25">
      <c r="A546" s="864" t="s">
        <v>182</v>
      </c>
      <c r="B546" s="865" t="s">
        <v>2779</v>
      </c>
      <c r="C546" s="865" t="s">
        <v>3273</v>
      </c>
      <c r="D546" s="866" t="s">
        <v>3450</v>
      </c>
      <c r="E546" s="865" t="s">
        <v>3107</v>
      </c>
      <c r="F546" s="862">
        <v>545</v>
      </c>
    </row>
    <row r="547" spans="1:6" ht="91.2" x14ac:dyDescent="0.25">
      <c r="A547" s="864" t="s">
        <v>183</v>
      </c>
      <c r="B547" s="865" t="s">
        <v>2780</v>
      </c>
      <c r="C547" s="865" t="s">
        <v>3274</v>
      </c>
      <c r="D547" s="866" t="s">
        <v>3451</v>
      </c>
      <c r="E547" s="865" t="s">
        <v>3108</v>
      </c>
      <c r="F547" s="865">
        <v>546</v>
      </c>
    </row>
    <row r="548" spans="1:6" ht="68.400000000000006" x14ac:dyDescent="0.25">
      <c r="A548" s="864" t="s">
        <v>184</v>
      </c>
      <c r="B548" s="865" t="s">
        <v>2781</v>
      </c>
      <c r="C548" s="865" t="s">
        <v>3275</v>
      </c>
      <c r="D548" s="866" t="s">
        <v>3452</v>
      </c>
      <c r="E548" s="865" t="s">
        <v>3109</v>
      </c>
      <c r="F548" s="862">
        <v>547</v>
      </c>
    </row>
    <row r="549" spans="1:6" ht="68.400000000000006" x14ac:dyDescent="0.25">
      <c r="A549" s="864" t="s">
        <v>185</v>
      </c>
      <c r="B549" s="865" t="s">
        <v>521</v>
      </c>
      <c r="C549" s="865" t="s">
        <v>2003</v>
      </c>
      <c r="D549" s="866" t="s">
        <v>2453</v>
      </c>
      <c r="E549" s="865" t="s">
        <v>3110</v>
      </c>
      <c r="F549" s="865">
        <v>548</v>
      </c>
    </row>
    <row r="550" spans="1:6" ht="102.6" x14ac:dyDescent="0.25">
      <c r="A550" s="864" t="s">
        <v>187</v>
      </c>
      <c r="B550" s="865" t="s">
        <v>2782</v>
      </c>
      <c r="C550" s="865" t="s">
        <v>3276</v>
      </c>
      <c r="D550" s="866" t="s">
        <v>3453</v>
      </c>
      <c r="E550" s="865" t="s">
        <v>3111</v>
      </c>
      <c r="F550" s="862">
        <v>549</v>
      </c>
    </row>
    <row r="551" spans="1:6" ht="125.4" x14ac:dyDescent="0.25">
      <c r="A551" s="864" t="s">
        <v>2652</v>
      </c>
      <c r="B551" s="865" t="s">
        <v>2783</v>
      </c>
      <c r="C551" s="865" t="s">
        <v>3277</v>
      </c>
      <c r="D551" s="866" t="s">
        <v>3454</v>
      </c>
      <c r="E551" s="865" t="s">
        <v>3112</v>
      </c>
      <c r="F551" s="865">
        <v>550</v>
      </c>
    </row>
    <row r="552" spans="1:6" x14ac:dyDescent="0.25">
      <c r="A552" s="864" t="s">
        <v>73</v>
      </c>
      <c r="B552" s="865" t="s">
        <v>1234</v>
      </c>
      <c r="C552" s="865" t="s">
        <v>1281</v>
      </c>
      <c r="D552" s="866" t="s">
        <v>2454</v>
      </c>
      <c r="F552" s="862">
        <v>551</v>
      </c>
    </row>
    <row r="553" spans="1:6" ht="114" x14ac:dyDescent="0.25">
      <c r="A553" s="861" t="s">
        <v>519</v>
      </c>
      <c r="B553" s="862" t="s">
        <v>515</v>
      </c>
      <c r="C553" s="862" t="s">
        <v>2004</v>
      </c>
      <c r="D553" s="863" t="s">
        <v>2455</v>
      </c>
      <c r="F553" s="865">
        <v>552</v>
      </c>
    </row>
    <row r="554" spans="1:6" ht="79.8" x14ac:dyDescent="0.25">
      <c r="A554" s="864" t="s">
        <v>189</v>
      </c>
      <c r="B554" s="865" t="s">
        <v>1076</v>
      </c>
      <c r="C554" s="865" t="s">
        <v>1913</v>
      </c>
      <c r="D554" s="866" t="s">
        <v>2456</v>
      </c>
      <c r="E554" s="865" t="s">
        <v>3113</v>
      </c>
      <c r="F554" s="862">
        <v>553</v>
      </c>
    </row>
    <row r="555" spans="1:6" ht="91.2" x14ac:dyDescent="0.25">
      <c r="A555" s="864" t="s">
        <v>190</v>
      </c>
      <c r="B555" s="865" t="s">
        <v>2784</v>
      </c>
      <c r="C555" s="865" t="s">
        <v>3278</v>
      </c>
      <c r="D555" s="866" t="s">
        <v>3455</v>
      </c>
      <c r="E555" s="865" t="s">
        <v>3114</v>
      </c>
      <c r="F555" s="865">
        <v>554</v>
      </c>
    </row>
    <row r="556" spans="1:6" ht="102.6" x14ac:dyDescent="0.25">
      <c r="A556" s="864" t="s">
        <v>191</v>
      </c>
      <c r="B556" s="865" t="s">
        <v>2785</v>
      </c>
      <c r="C556" s="865" t="s">
        <v>3279</v>
      </c>
      <c r="D556" s="866" t="s">
        <v>3456</v>
      </c>
      <c r="E556" s="865" t="s">
        <v>3115</v>
      </c>
      <c r="F556" s="862">
        <v>555</v>
      </c>
    </row>
    <row r="557" spans="1:6" ht="91.2" x14ac:dyDescent="0.25">
      <c r="A557" s="864" t="s">
        <v>192</v>
      </c>
      <c r="B557" s="865" t="s">
        <v>1077</v>
      </c>
      <c r="C557" s="865" t="s">
        <v>1914</v>
      </c>
      <c r="D557" s="866" t="s">
        <v>2457</v>
      </c>
      <c r="E557" s="865" t="s">
        <v>3116</v>
      </c>
      <c r="F557" s="865">
        <v>556</v>
      </c>
    </row>
    <row r="558" spans="1:6" ht="114" x14ac:dyDescent="0.25">
      <c r="A558" s="864" t="s">
        <v>193</v>
      </c>
      <c r="B558" s="865" t="s">
        <v>2786</v>
      </c>
      <c r="C558" s="865" t="s">
        <v>3280</v>
      </c>
      <c r="D558" s="866" t="s">
        <v>3457</v>
      </c>
      <c r="E558" s="865" t="s">
        <v>3117</v>
      </c>
      <c r="F558" s="862">
        <v>557</v>
      </c>
    </row>
    <row r="559" spans="1:6" ht="79.8" x14ac:dyDescent="0.25">
      <c r="A559" s="864" t="s">
        <v>194</v>
      </c>
      <c r="B559" s="865" t="s">
        <v>516</v>
      </c>
      <c r="C559" s="865" t="s">
        <v>1310</v>
      </c>
      <c r="D559" s="866" t="s">
        <v>2458</v>
      </c>
      <c r="E559" s="865" t="s">
        <v>3118</v>
      </c>
      <c r="F559" s="865">
        <v>558</v>
      </c>
    </row>
    <row r="560" spans="1:6" ht="91.2" x14ac:dyDescent="0.25">
      <c r="A560" s="864" t="s">
        <v>195</v>
      </c>
      <c r="B560" s="865" t="s">
        <v>517</v>
      </c>
      <c r="C560" s="865" t="s">
        <v>1311</v>
      </c>
      <c r="D560" s="866" t="s">
        <v>2459</v>
      </c>
      <c r="E560" s="865" t="s">
        <v>3119</v>
      </c>
      <c r="F560" s="862">
        <v>559</v>
      </c>
    </row>
    <row r="561" spans="1:6" ht="114" x14ac:dyDescent="0.25">
      <c r="A561" s="861" t="s">
        <v>196</v>
      </c>
      <c r="B561" s="862" t="s">
        <v>2787</v>
      </c>
      <c r="C561" s="862" t="s">
        <v>3281</v>
      </c>
      <c r="D561" s="863" t="s">
        <v>3458</v>
      </c>
      <c r="E561" s="865" t="s">
        <v>3120</v>
      </c>
      <c r="F561" s="865">
        <v>560</v>
      </c>
    </row>
    <row r="562" spans="1:6" ht="79.8" x14ac:dyDescent="0.25">
      <c r="A562" s="864" t="s">
        <v>197</v>
      </c>
      <c r="B562" s="865" t="s">
        <v>1078</v>
      </c>
      <c r="C562" s="865" t="s">
        <v>1312</v>
      </c>
      <c r="D562" s="866" t="s">
        <v>2460</v>
      </c>
      <c r="E562" s="865" t="s">
        <v>3121</v>
      </c>
      <c r="F562" s="862">
        <v>561</v>
      </c>
    </row>
    <row r="563" spans="1:6" ht="148.19999999999999" x14ac:dyDescent="0.25">
      <c r="A563" s="861" t="s">
        <v>199</v>
      </c>
      <c r="B563" s="862" t="s">
        <v>2788</v>
      </c>
      <c r="C563" s="862" t="s">
        <v>3282</v>
      </c>
      <c r="D563" s="863" t="s">
        <v>3459</v>
      </c>
      <c r="E563" s="865" t="s">
        <v>3122</v>
      </c>
      <c r="F563" s="865">
        <v>562</v>
      </c>
    </row>
    <row r="564" spans="1:6" ht="125.4" x14ac:dyDescent="0.25">
      <c r="A564" s="864" t="s">
        <v>201</v>
      </c>
      <c r="B564" s="865" t="s">
        <v>1079</v>
      </c>
      <c r="C564" s="865" t="s">
        <v>1466</v>
      </c>
      <c r="D564" s="866" t="s">
        <v>2461</v>
      </c>
      <c r="E564" s="865" t="s">
        <v>3123</v>
      </c>
      <c r="F564" s="862">
        <v>563</v>
      </c>
    </row>
    <row r="565" spans="1:6" x14ac:dyDescent="0.25">
      <c r="A565" s="864" t="s">
        <v>76</v>
      </c>
      <c r="B565" s="865" t="s">
        <v>397</v>
      </c>
      <c r="C565" s="865" t="s">
        <v>708</v>
      </c>
      <c r="D565" s="866" t="s">
        <v>2087</v>
      </c>
      <c r="F565" s="865">
        <v>564</v>
      </c>
    </row>
    <row r="566" spans="1:6" ht="68.400000000000006" x14ac:dyDescent="0.25">
      <c r="A566" s="864" t="s">
        <v>522</v>
      </c>
      <c r="B566" s="865" t="s">
        <v>399</v>
      </c>
      <c r="C566" s="865" t="s">
        <v>835</v>
      </c>
      <c r="D566" s="866" t="s">
        <v>2088</v>
      </c>
      <c r="F566" s="862">
        <v>565</v>
      </c>
    </row>
    <row r="567" spans="1:6" ht="79.8" x14ac:dyDescent="0.25">
      <c r="A567" s="864" t="s">
        <v>205</v>
      </c>
      <c r="B567" s="865" t="s">
        <v>1080</v>
      </c>
      <c r="C567" s="865" t="s">
        <v>1313</v>
      </c>
      <c r="D567" s="866" t="s">
        <v>2462</v>
      </c>
      <c r="E567" s="865" t="s">
        <v>3124</v>
      </c>
      <c r="F567" s="865">
        <v>566</v>
      </c>
    </row>
    <row r="568" spans="1:6" ht="205.2" x14ac:dyDescent="0.25">
      <c r="A568" s="864" t="s">
        <v>206</v>
      </c>
      <c r="B568" s="865" t="s">
        <v>523</v>
      </c>
      <c r="C568" s="865" t="s">
        <v>1314</v>
      </c>
      <c r="D568" s="866" t="s">
        <v>2463</v>
      </c>
      <c r="E568" s="865" t="s">
        <v>3125</v>
      </c>
      <c r="F568" s="862">
        <v>567</v>
      </c>
    </row>
    <row r="569" spans="1:6" ht="171" x14ac:dyDescent="0.25">
      <c r="A569" s="864" t="s">
        <v>207</v>
      </c>
      <c r="B569" s="865" t="s">
        <v>1081</v>
      </c>
      <c r="C569" s="865" t="s">
        <v>1989</v>
      </c>
      <c r="D569" s="866" t="s">
        <v>2464</v>
      </c>
      <c r="E569" s="865" t="s">
        <v>3126</v>
      </c>
      <c r="F569" s="865">
        <v>568</v>
      </c>
    </row>
    <row r="570" spans="1:6" ht="136.80000000000001" x14ac:dyDescent="0.25">
      <c r="A570" s="864" t="s">
        <v>208</v>
      </c>
      <c r="B570" s="865" t="s">
        <v>1082</v>
      </c>
      <c r="C570" s="865" t="s">
        <v>1316</v>
      </c>
      <c r="D570" s="866" t="s">
        <v>2466</v>
      </c>
      <c r="E570" s="865" t="s">
        <v>3127</v>
      </c>
      <c r="F570" s="862">
        <v>569</v>
      </c>
    </row>
    <row r="571" spans="1:6" ht="148.19999999999999" x14ac:dyDescent="0.25">
      <c r="A571" s="861" t="s">
        <v>209</v>
      </c>
      <c r="B571" s="862" t="s">
        <v>524</v>
      </c>
      <c r="C571" s="862" t="s">
        <v>1315</v>
      </c>
      <c r="D571" s="863" t="s">
        <v>2465</v>
      </c>
      <c r="E571" s="865" t="s">
        <v>3128</v>
      </c>
      <c r="F571" s="865">
        <v>570</v>
      </c>
    </row>
    <row r="572" spans="1:6" ht="34.200000000000003" x14ac:dyDescent="0.25">
      <c r="A572" s="864" t="s">
        <v>210</v>
      </c>
      <c r="B572" s="865" t="s">
        <v>1083</v>
      </c>
      <c r="C572" s="865" t="s">
        <v>1317</v>
      </c>
      <c r="D572" s="866" t="s">
        <v>2467</v>
      </c>
      <c r="E572" s="865" t="s">
        <v>3129</v>
      </c>
      <c r="F572" s="862">
        <v>571</v>
      </c>
    </row>
    <row r="573" spans="1:6" x14ac:dyDescent="0.25">
      <c r="A573" s="864" t="s">
        <v>74</v>
      </c>
      <c r="B573" s="865" t="s">
        <v>1170</v>
      </c>
      <c r="C573" s="865" t="s">
        <v>1458</v>
      </c>
      <c r="D573" s="866" t="s">
        <v>2468</v>
      </c>
      <c r="F573" s="865">
        <v>572</v>
      </c>
    </row>
    <row r="574" spans="1:6" ht="136.80000000000001" x14ac:dyDescent="0.25">
      <c r="A574" s="864" t="s">
        <v>557</v>
      </c>
      <c r="B574" s="865" t="s">
        <v>1268</v>
      </c>
      <c r="C574" s="865" t="s">
        <v>781</v>
      </c>
      <c r="D574" s="866" t="s">
        <v>2469</v>
      </c>
      <c r="F574" s="862">
        <v>573</v>
      </c>
    </row>
    <row r="575" spans="1:6" x14ac:dyDescent="0.25">
      <c r="A575" s="864" t="s">
        <v>104</v>
      </c>
      <c r="B575" s="865" t="s">
        <v>558</v>
      </c>
      <c r="C575" s="865" t="s">
        <v>707</v>
      </c>
      <c r="D575" s="866" t="s">
        <v>2470</v>
      </c>
      <c r="F575" s="865">
        <v>574</v>
      </c>
    </row>
    <row r="576" spans="1:6" ht="114" x14ac:dyDescent="0.25">
      <c r="A576" s="864" t="s">
        <v>559</v>
      </c>
      <c r="B576" s="865" t="s">
        <v>1264</v>
      </c>
      <c r="C576" s="865" t="s">
        <v>782</v>
      </c>
      <c r="D576" s="866" t="s">
        <v>2471</v>
      </c>
      <c r="F576" s="862">
        <v>575</v>
      </c>
    </row>
    <row r="577" spans="1:6" ht="114" x14ac:dyDescent="0.25">
      <c r="A577" s="864" t="s">
        <v>274</v>
      </c>
      <c r="B577" s="865" t="s">
        <v>1176</v>
      </c>
      <c r="C577" s="865" t="s">
        <v>1919</v>
      </c>
      <c r="D577" s="866" t="s">
        <v>2486</v>
      </c>
      <c r="E577" s="865" t="s">
        <v>3130</v>
      </c>
      <c r="F577" s="865">
        <v>576</v>
      </c>
    </row>
    <row r="578" spans="1:6" ht="159.6" x14ac:dyDescent="0.25">
      <c r="A578" s="864" t="s">
        <v>275</v>
      </c>
      <c r="B578" s="865" t="s">
        <v>1177</v>
      </c>
      <c r="C578" s="865" t="s">
        <v>1920</v>
      </c>
      <c r="D578" s="866" t="s">
        <v>2487</v>
      </c>
      <c r="E578" s="865" t="s">
        <v>3131</v>
      </c>
      <c r="F578" s="862">
        <v>577</v>
      </c>
    </row>
    <row r="579" spans="1:6" ht="79.8" x14ac:dyDescent="0.25">
      <c r="A579" s="861" t="s">
        <v>276</v>
      </c>
      <c r="B579" s="862" t="s">
        <v>2789</v>
      </c>
      <c r="C579" s="862" t="s">
        <v>3283</v>
      </c>
      <c r="D579" s="863" t="s">
        <v>3460</v>
      </c>
      <c r="E579" s="865" t="s">
        <v>3132</v>
      </c>
      <c r="F579" s="865">
        <v>578</v>
      </c>
    </row>
    <row r="580" spans="1:6" ht="102.6" x14ac:dyDescent="0.25">
      <c r="A580" s="864" t="s">
        <v>277</v>
      </c>
      <c r="B580" s="865" t="s">
        <v>2790</v>
      </c>
      <c r="C580" s="865" t="s">
        <v>3284</v>
      </c>
      <c r="D580" s="866" t="s">
        <v>3461</v>
      </c>
      <c r="E580" s="865" t="s">
        <v>3133</v>
      </c>
      <c r="F580" s="862">
        <v>579</v>
      </c>
    </row>
    <row r="581" spans="1:6" ht="125.4" x14ac:dyDescent="0.25">
      <c r="A581" s="864" t="s">
        <v>278</v>
      </c>
      <c r="B581" s="865" t="s">
        <v>2791</v>
      </c>
      <c r="C581" s="865" t="s">
        <v>3285</v>
      </c>
      <c r="D581" s="866" t="s">
        <v>3462</v>
      </c>
      <c r="E581" s="865" t="s">
        <v>3134</v>
      </c>
      <c r="F581" s="865">
        <v>580</v>
      </c>
    </row>
    <row r="582" spans="1:6" ht="79.8" x14ac:dyDescent="0.25">
      <c r="A582" s="864" t="s">
        <v>279</v>
      </c>
      <c r="B582" s="865" t="s">
        <v>570</v>
      </c>
      <c r="C582" s="865" t="s">
        <v>2008</v>
      </c>
      <c r="D582" s="866" t="s">
        <v>2488</v>
      </c>
      <c r="E582" s="865" t="s">
        <v>3135</v>
      </c>
      <c r="F582" s="862">
        <v>581</v>
      </c>
    </row>
    <row r="583" spans="1:6" ht="125.4" x14ac:dyDescent="0.25">
      <c r="A583" s="864" t="s">
        <v>2653</v>
      </c>
      <c r="B583" s="865" t="s">
        <v>571</v>
      </c>
      <c r="C583" s="865" t="s">
        <v>3286</v>
      </c>
      <c r="D583" s="866" t="s">
        <v>3463</v>
      </c>
      <c r="E583" s="865" t="s">
        <v>3136</v>
      </c>
      <c r="F583" s="865">
        <v>582</v>
      </c>
    </row>
    <row r="584" spans="1:6" x14ac:dyDescent="0.25">
      <c r="A584" s="864" t="s">
        <v>106</v>
      </c>
      <c r="B584" s="865" t="s">
        <v>563</v>
      </c>
      <c r="C584" s="865" t="s">
        <v>1293</v>
      </c>
      <c r="D584" s="866" t="s">
        <v>2478</v>
      </c>
      <c r="F584" s="862">
        <v>583</v>
      </c>
    </row>
    <row r="585" spans="1:6" ht="136.80000000000001" x14ac:dyDescent="0.25">
      <c r="A585" s="864" t="s">
        <v>564</v>
      </c>
      <c r="B585" s="865" t="s">
        <v>565</v>
      </c>
      <c r="C585" s="865" t="s">
        <v>2007</v>
      </c>
      <c r="D585" s="866" t="s">
        <v>2479</v>
      </c>
      <c r="F585" s="865">
        <v>584</v>
      </c>
    </row>
    <row r="586" spans="1:6" ht="159.6" x14ac:dyDescent="0.25">
      <c r="A586" s="864" t="s">
        <v>280</v>
      </c>
      <c r="B586" s="865" t="s">
        <v>574</v>
      </c>
      <c r="C586" s="865" t="s">
        <v>1921</v>
      </c>
      <c r="D586" s="866" t="s">
        <v>2491</v>
      </c>
      <c r="E586" s="865" t="s">
        <v>3137</v>
      </c>
      <c r="F586" s="862">
        <v>585</v>
      </c>
    </row>
    <row r="587" spans="1:6" ht="182.4" x14ac:dyDescent="0.25">
      <c r="A587" s="864" t="s">
        <v>281</v>
      </c>
      <c r="B587" s="865" t="s">
        <v>2792</v>
      </c>
      <c r="C587" s="865" t="s">
        <v>3287</v>
      </c>
      <c r="D587" s="866" t="s">
        <v>3464</v>
      </c>
      <c r="E587" s="865" t="s">
        <v>3138</v>
      </c>
      <c r="F587" s="865">
        <v>586</v>
      </c>
    </row>
    <row r="588" spans="1:6" ht="102.6" x14ac:dyDescent="0.25">
      <c r="A588" s="861" t="s">
        <v>282</v>
      </c>
      <c r="B588" s="862" t="s">
        <v>2793</v>
      </c>
      <c r="C588" s="862" t="s">
        <v>3288</v>
      </c>
      <c r="D588" s="863" t="s">
        <v>3465</v>
      </c>
      <c r="E588" s="865" t="s">
        <v>3139</v>
      </c>
      <c r="F588" s="862">
        <v>587</v>
      </c>
    </row>
    <row r="589" spans="1:6" ht="79.8" x14ac:dyDescent="0.25">
      <c r="A589" s="864" t="s">
        <v>283</v>
      </c>
      <c r="B589" s="865" t="s">
        <v>2794</v>
      </c>
      <c r="C589" s="865" t="s">
        <v>3289</v>
      </c>
      <c r="D589" s="866">
        <v>0</v>
      </c>
      <c r="E589" s="865" t="s">
        <v>3140</v>
      </c>
      <c r="F589" s="865">
        <v>588</v>
      </c>
    </row>
    <row r="590" spans="1:6" ht="79.8" x14ac:dyDescent="0.25">
      <c r="A590" s="864" t="s">
        <v>284</v>
      </c>
      <c r="B590" s="865" t="s">
        <v>2795</v>
      </c>
      <c r="C590" s="865" t="s">
        <v>3290</v>
      </c>
      <c r="D590" s="866">
        <v>0</v>
      </c>
      <c r="E590" s="865" t="s">
        <v>3141</v>
      </c>
      <c r="F590" s="862">
        <v>589</v>
      </c>
    </row>
    <row r="591" spans="1:6" ht="102.6" x14ac:dyDescent="0.25">
      <c r="A591" s="864" t="s">
        <v>285</v>
      </c>
      <c r="B591" s="865" t="s">
        <v>2796</v>
      </c>
      <c r="C591" s="865" t="s">
        <v>3291</v>
      </c>
      <c r="D591" s="866" t="s">
        <v>2492</v>
      </c>
      <c r="E591" s="865" t="s">
        <v>3142</v>
      </c>
      <c r="F591" s="865">
        <v>590</v>
      </c>
    </row>
    <row r="592" spans="1:6" ht="159.6" x14ac:dyDescent="0.25">
      <c r="A592" s="864" t="s">
        <v>2654</v>
      </c>
      <c r="B592" s="865" t="s">
        <v>1178</v>
      </c>
      <c r="C592" s="865" t="s">
        <v>3292</v>
      </c>
      <c r="D592" s="866" t="s">
        <v>3466</v>
      </c>
      <c r="E592" s="865" t="s">
        <v>3143</v>
      </c>
      <c r="F592" s="862">
        <v>591</v>
      </c>
    </row>
    <row r="593" spans="1:6" x14ac:dyDescent="0.25">
      <c r="A593" s="864" t="s">
        <v>108</v>
      </c>
      <c r="B593" s="865" t="s">
        <v>568</v>
      </c>
      <c r="C593" s="865" t="s">
        <v>1294</v>
      </c>
      <c r="D593" s="866" t="s">
        <v>2484</v>
      </c>
      <c r="F593" s="865">
        <v>592</v>
      </c>
    </row>
    <row r="594" spans="1:6" ht="102.6" x14ac:dyDescent="0.25">
      <c r="A594" s="864" t="s">
        <v>569</v>
      </c>
      <c r="B594" s="865" t="s">
        <v>1265</v>
      </c>
      <c r="C594" s="865" t="s">
        <v>783</v>
      </c>
      <c r="D594" s="866" t="s">
        <v>2485</v>
      </c>
      <c r="F594" s="862">
        <v>593</v>
      </c>
    </row>
    <row r="595" spans="1:6" ht="102.6" x14ac:dyDescent="0.25">
      <c r="A595" s="861" t="s">
        <v>286</v>
      </c>
      <c r="B595" s="862" t="s">
        <v>560</v>
      </c>
      <c r="C595" s="862" t="s">
        <v>1915</v>
      </c>
      <c r="D595" s="863" t="s">
        <v>2472</v>
      </c>
      <c r="E595" s="865" t="s">
        <v>3144</v>
      </c>
      <c r="F595" s="865">
        <v>594</v>
      </c>
    </row>
    <row r="596" spans="1:6" ht="79.8" x14ac:dyDescent="0.25">
      <c r="A596" s="864" t="s">
        <v>287</v>
      </c>
      <c r="B596" s="865" t="s">
        <v>561</v>
      </c>
      <c r="C596" s="865" t="s">
        <v>1916</v>
      </c>
      <c r="D596" s="866" t="s">
        <v>2473</v>
      </c>
      <c r="E596" s="865" t="s">
        <v>3145</v>
      </c>
      <c r="F596" s="862">
        <v>595</v>
      </c>
    </row>
    <row r="597" spans="1:6" ht="79.8" x14ac:dyDescent="0.25">
      <c r="A597" s="864" t="s">
        <v>288</v>
      </c>
      <c r="B597" s="865" t="s">
        <v>1171</v>
      </c>
      <c r="C597" s="865" t="s">
        <v>2005</v>
      </c>
      <c r="D597" s="866" t="s">
        <v>2474</v>
      </c>
      <c r="E597" s="865" t="s">
        <v>3146</v>
      </c>
      <c r="F597" s="865">
        <v>596</v>
      </c>
    </row>
    <row r="598" spans="1:6" ht="79.8" x14ac:dyDescent="0.25">
      <c r="A598" s="864" t="s">
        <v>289</v>
      </c>
      <c r="B598" s="865" t="s">
        <v>1172</v>
      </c>
      <c r="C598" s="865" t="s">
        <v>1371</v>
      </c>
      <c r="D598" s="866" t="s">
        <v>2475</v>
      </c>
      <c r="E598" s="865" t="s">
        <v>3147</v>
      </c>
      <c r="F598" s="862">
        <v>597</v>
      </c>
    </row>
    <row r="599" spans="1:6" ht="91.2" x14ac:dyDescent="0.25">
      <c r="A599" s="864" t="s">
        <v>290</v>
      </c>
      <c r="B599" s="865" t="s">
        <v>1173</v>
      </c>
      <c r="C599" s="865" t="s">
        <v>1372</v>
      </c>
      <c r="D599" s="866" t="s">
        <v>2476</v>
      </c>
      <c r="E599" s="865" t="s">
        <v>3148</v>
      </c>
      <c r="F599" s="865">
        <v>598</v>
      </c>
    </row>
    <row r="600" spans="1:6" ht="79.8" x14ac:dyDescent="0.25">
      <c r="A600" s="864" t="s">
        <v>291</v>
      </c>
      <c r="B600" s="865" t="s">
        <v>562</v>
      </c>
      <c r="C600" s="865" t="s">
        <v>2006</v>
      </c>
      <c r="D600" s="866" t="s">
        <v>2477</v>
      </c>
      <c r="E600" s="865" t="s">
        <v>3149</v>
      </c>
      <c r="F600" s="862">
        <v>599</v>
      </c>
    </row>
    <row r="601" spans="1:6" x14ac:dyDescent="0.25">
      <c r="A601" s="864" t="s">
        <v>110</v>
      </c>
      <c r="B601" s="865" t="s">
        <v>572</v>
      </c>
      <c r="C601" s="865" t="s">
        <v>1295</v>
      </c>
      <c r="D601" s="866" t="s">
        <v>2489</v>
      </c>
      <c r="F601" s="865">
        <v>600</v>
      </c>
    </row>
    <row r="602" spans="1:6" ht="171" x14ac:dyDescent="0.25">
      <c r="A602" s="864" t="s">
        <v>573</v>
      </c>
      <c r="B602" s="865" t="s">
        <v>1266</v>
      </c>
      <c r="C602" s="865" t="s">
        <v>841</v>
      </c>
      <c r="D602" s="866" t="s">
        <v>2490</v>
      </c>
      <c r="F602" s="862">
        <v>601</v>
      </c>
    </row>
    <row r="603" spans="1:6" ht="136.80000000000001" x14ac:dyDescent="0.25">
      <c r="A603" s="864" t="s">
        <v>292</v>
      </c>
      <c r="B603" s="865" t="s">
        <v>566</v>
      </c>
      <c r="C603" s="865" t="s">
        <v>1917</v>
      </c>
      <c r="D603" s="866" t="s">
        <v>2480</v>
      </c>
      <c r="E603" s="865" t="s">
        <v>3150</v>
      </c>
      <c r="F603" s="865">
        <v>602</v>
      </c>
    </row>
    <row r="604" spans="1:6" ht="57" x14ac:dyDescent="0.25">
      <c r="A604" s="864" t="s">
        <v>293</v>
      </c>
      <c r="B604" s="865" t="s">
        <v>1174</v>
      </c>
      <c r="C604" s="865" t="s">
        <v>1918</v>
      </c>
      <c r="D604" s="866" t="s">
        <v>2481</v>
      </c>
      <c r="E604" s="865" t="s">
        <v>3151</v>
      </c>
      <c r="F604" s="862">
        <v>603</v>
      </c>
    </row>
    <row r="605" spans="1:6" ht="68.400000000000006" x14ac:dyDescent="0.25">
      <c r="A605" s="864" t="s">
        <v>294</v>
      </c>
      <c r="B605" s="865" t="s">
        <v>2797</v>
      </c>
      <c r="C605" s="865" t="s">
        <v>3293</v>
      </c>
      <c r="D605" s="866" t="s">
        <v>3467</v>
      </c>
      <c r="E605" s="865" t="s">
        <v>3152</v>
      </c>
      <c r="F605" s="865">
        <v>604</v>
      </c>
    </row>
    <row r="606" spans="1:6" ht="91.2" x14ac:dyDescent="0.25">
      <c r="A606" s="864" t="s">
        <v>295</v>
      </c>
      <c r="B606" s="865" t="s">
        <v>2798</v>
      </c>
      <c r="C606" s="865" t="s">
        <v>1373</v>
      </c>
      <c r="D606" s="866" t="s">
        <v>2482</v>
      </c>
      <c r="E606" s="865" t="s">
        <v>3153</v>
      </c>
      <c r="F606" s="862">
        <v>605</v>
      </c>
    </row>
    <row r="607" spans="1:6" ht="79.8" x14ac:dyDescent="0.25">
      <c r="A607" s="864" t="s">
        <v>296</v>
      </c>
      <c r="B607" s="865" t="s">
        <v>1175</v>
      </c>
      <c r="C607" s="862" t="s">
        <v>2028</v>
      </c>
      <c r="D607" s="866" t="s">
        <v>2483</v>
      </c>
      <c r="E607" s="865" t="s">
        <v>3154</v>
      </c>
      <c r="F607" s="865">
        <v>606</v>
      </c>
    </row>
    <row r="608" spans="1:6" ht="79.8" x14ac:dyDescent="0.25">
      <c r="A608" s="864" t="s">
        <v>2655</v>
      </c>
      <c r="B608" s="865" t="s">
        <v>567</v>
      </c>
      <c r="C608" s="865" t="s">
        <v>3294</v>
      </c>
      <c r="D608" s="866" t="s">
        <v>3468</v>
      </c>
      <c r="E608" s="865" t="s">
        <v>3155</v>
      </c>
      <c r="F608" s="862">
        <v>607</v>
      </c>
    </row>
    <row r="609" spans="1:6" x14ac:dyDescent="0.25">
      <c r="A609" s="864" t="s">
        <v>112</v>
      </c>
      <c r="B609" s="865" t="s">
        <v>397</v>
      </c>
      <c r="C609" s="865" t="s">
        <v>708</v>
      </c>
      <c r="D609" s="866" t="s">
        <v>2087</v>
      </c>
      <c r="F609" s="865">
        <v>608</v>
      </c>
    </row>
    <row r="610" spans="1:6" ht="68.400000000000006" x14ac:dyDescent="0.25">
      <c r="A610" s="864" t="s">
        <v>575</v>
      </c>
      <c r="B610" s="865" t="s">
        <v>399</v>
      </c>
      <c r="C610" s="865" t="s">
        <v>835</v>
      </c>
      <c r="D610" s="866" t="s">
        <v>2088</v>
      </c>
      <c r="F610" s="862">
        <v>609</v>
      </c>
    </row>
    <row r="611" spans="1:6" ht="79.8" x14ac:dyDescent="0.25">
      <c r="A611" s="864" t="s">
        <v>297</v>
      </c>
      <c r="B611" s="865" t="s">
        <v>1179</v>
      </c>
      <c r="C611" s="865" t="s">
        <v>1374</v>
      </c>
      <c r="D611" s="866" t="s">
        <v>2493</v>
      </c>
      <c r="E611" s="865" t="s">
        <v>3156</v>
      </c>
      <c r="F611" s="865">
        <v>610</v>
      </c>
    </row>
    <row r="612" spans="1:6" ht="216.6" x14ac:dyDescent="0.25">
      <c r="A612" s="864" t="s">
        <v>298</v>
      </c>
      <c r="B612" s="865" t="s">
        <v>576</v>
      </c>
      <c r="C612" s="865" t="s">
        <v>1375</v>
      </c>
      <c r="D612" s="866" t="s">
        <v>2494</v>
      </c>
      <c r="E612" s="865" t="s">
        <v>3157</v>
      </c>
      <c r="F612" s="862">
        <v>611</v>
      </c>
    </row>
    <row r="613" spans="1:6" ht="159.6" x14ac:dyDescent="0.25">
      <c r="A613" s="864" t="s">
        <v>299</v>
      </c>
      <c r="B613" s="865" t="s">
        <v>1180</v>
      </c>
      <c r="C613" s="865" t="s">
        <v>1990</v>
      </c>
      <c r="D613" s="866" t="s">
        <v>2495</v>
      </c>
      <c r="E613" s="865" t="s">
        <v>3158</v>
      </c>
      <c r="F613" s="865">
        <v>612</v>
      </c>
    </row>
    <row r="614" spans="1:6" ht="125.4" x14ac:dyDescent="0.25">
      <c r="A614" s="864" t="s">
        <v>300</v>
      </c>
      <c r="B614" s="865" t="s">
        <v>1181</v>
      </c>
      <c r="C614" s="865" t="s">
        <v>1377</v>
      </c>
      <c r="D614" s="866" t="s">
        <v>2497</v>
      </c>
      <c r="E614" s="865" t="s">
        <v>3159</v>
      </c>
      <c r="F614" s="862">
        <v>613</v>
      </c>
    </row>
    <row r="615" spans="1:6" ht="148.19999999999999" x14ac:dyDescent="0.25">
      <c r="A615" s="864" t="s">
        <v>301</v>
      </c>
      <c r="B615" s="865" t="s">
        <v>577</v>
      </c>
      <c r="C615" s="862" t="s">
        <v>1376</v>
      </c>
      <c r="D615" s="866" t="s">
        <v>2496</v>
      </c>
      <c r="E615" s="865" t="s">
        <v>3160</v>
      </c>
      <c r="F615" s="865">
        <v>614</v>
      </c>
    </row>
    <row r="616" spans="1:6" ht="34.200000000000003" x14ac:dyDescent="0.25">
      <c r="A616" s="864" t="s">
        <v>302</v>
      </c>
      <c r="B616" s="865" t="s">
        <v>1182</v>
      </c>
      <c r="C616" s="865" t="s">
        <v>1378</v>
      </c>
      <c r="D616" s="866" t="s">
        <v>2498</v>
      </c>
      <c r="E616" s="865" t="s">
        <v>3161</v>
      </c>
      <c r="F616" s="862">
        <v>615</v>
      </c>
    </row>
    <row r="617" spans="1:6" x14ac:dyDescent="0.25">
      <c r="A617" s="875"/>
      <c r="D617" s="876"/>
      <c r="E617" s="1063"/>
    </row>
    <row r="618" spans="1:6" s="874" customFormat="1" x14ac:dyDescent="0.2">
      <c r="A618" s="875"/>
      <c r="B618" s="872"/>
      <c r="C618" s="872"/>
      <c r="D618" s="876"/>
    </row>
    <row r="619" spans="1:6" x14ac:dyDescent="0.25">
      <c r="A619" s="875"/>
      <c r="D619" s="876"/>
      <c r="E619" s="872"/>
    </row>
    <row r="620" spans="1:6" x14ac:dyDescent="0.25">
      <c r="A620" s="875"/>
      <c r="D620" s="876"/>
      <c r="E620" s="872"/>
    </row>
    <row r="621" spans="1:6" x14ac:dyDescent="0.25">
      <c r="A621" s="875"/>
      <c r="D621" s="876"/>
      <c r="E621" s="872"/>
    </row>
    <row r="622" spans="1:6" x14ac:dyDescent="0.25">
      <c r="A622" s="875"/>
      <c r="C622" s="871"/>
      <c r="D622" s="876"/>
      <c r="E622" s="872"/>
    </row>
    <row r="623" spans="1:6" x14ac:dyDescent="0.25">
      <c r="A623" s="875"/>
      <c r="D623" s="876"/>
      <c r="E623" s="872"/>
    </row>
    <row r="624" spans="1:6" x14ac:dyDescent="0.25">
      <c r="A624" s="875"/>
      <c r="D624" s="876"/>
      <c r="E624" s="872"/>
    </row>
    <row r="625" spans="1:5" x14ac:dyDescent="0.25">
      <c r="A625" s="875"/>
      <c r="D625" s="876"/>
      <c r="E625" s="872"/>
    </row>
    <row r="626" spans="1:5" x14ac:dyDescent="0.25">
      <c r="A626" s="875"/>
      <c r="D626" s="876"/>
      <c r="E626" s="872"/>
    </row>
    <row r="627" spans="1:5" x14ac:dyDescent="0.25">
      <c r="A627" s="875"/>
      <c r="D627" s="876"/>
      <c r="E627" s="872"/>
    </row>
    <row r="628" spans="1:5" x14ac:dyDescent="0.25">
      <c r="A628" s="875"/>
      <c r="D628" s="876"/>
      <c r="E628" s="872"/>
    </row>
    <row r="629" spans="1:5" x14ac:dyDescent="0.25">
      <c r="A629" s="875"/>
      <c r="D629" s="876"/>
      <c r="E629" s="872"/>
    </row>
    <row r="630" spans="1:5" x14ac:dyDescent="0.25">
      <c r="A630" s="875"/>
      <c r="D630" s="876"/>
      <c r="E630" s="872"/>
    </row>
    <row r="631" spans="1:5" x14ac:dyDescent="0.2">
      <c r="E631" s="872"/>
    </row>
    <row r="632" spans="1:5" x14ac:dyDescent="0.2">
      <c r="E632" s="872"/>
    </row>
    <row r="633" spans="1:5" x14ac:dyDescent="0.2">
      <c r="E633" s="872"/>
    </row>
    <row r="634" spans="1:5" x14ac:dyDescent="0.2">
      <c r="E634" s="872"/>
    </row>
    <row r="635" spans="1:5" x14ac:dyDescent="0.2">
      <c r="E635" s="872"/>
    </row>
    <row r="636" spans="1:5" x14ac:dyDescent="0.2">
      <c r="E636" s="872"/>
    </row>
    <row r="637" spans="1:5" x14ac:dyDescent="0.2">
      <c r="E637" s="872"/>
    </row>
    <row r="638" spans="1:5" x14ac:dyDescent="0.2">
      <c r="E638" s="872"/>
    </row>
    <row r="639" spans="1:5" x14ac:dyDescent="0.2">
      <c r="E639" s="872"/>
    </row>
    <row r="640" spans="1:5" x14ac:dyDescent="0.2">
      <c r="E640" s="872"/>
    </row>
    <row r="641" spans="5:5" x14ac:dyDescent="0.2">
      <c r="E641" s="872"/>
    </row>
    <row r="642" spans="5:5" x14ac:dyDescent="0.2">
      <c r="E642" s="872"/>
    </row>
    <row r="643" spans="5:5" x14ac:dyDescent="0.2">
      <c r="E643" s="872"/>
    </row>
    <row r="644" spans="5:5" x14ac:dyDescent="0.2">
      <c r="E644" s="872"/>
    </row>
    <row r="645" spans="5:5" x14ac:dyDescent="0.2">
      <c r="E645" s="872"/>
    </row>
    <row r="646" spans="5:5" x14ac:dyDescent="0.2">
      <c r="E646" s="872"/>
    </row>
    <row r="647" spans="5:5" x14ac:dyDescent="0.2">
      <c r="E647" s="872"/>
    </row>
    <row r="648" spans="5:5" x14ac:dyDescent="0.2">
      <c r="E648" s="872"/>
    </row>
    <row r="649" spans="5:5" x14ac:dyDescent="0.2">
      <c r="E649" s="872"/>
    </row>
    <row r="650" spans="5:5" x14ac:dyDescent="0.2">
      <c r="E650" s="872"/>
    </row>
    <row r="651" spans="5:5" x14ac:dyDescent="0.2">
      <c r="E651" s="872"/>
    </row>
    <row r="652" spans="5:5" x14ac:dyDescent="0.2">
      <c r="E652" s="872"/>
    </row>
    <row r="653" spans="5:5" x14ac:dyDescent="0.2">
      <c r="E653" s="872"/>
    </row>
    <row r="654" spans="5:5" x14ac:dyDescent="0.2">
      <c r="E654" s="872"/>
    </row>
    <row r="655" spans="5:5" x14ac:dyDescent="0.2">
      <c r="E655" s="872"/>
    </row>
    <row r="656" spans="5:5" x14ac:dyDescent="0.2">
      <c r="E656" s="872"/>
    </row>
    <row r="657" spans="5:5" x14ac:dyDescent="0.2">
      <c r="E657" s="872"/>
    </row>
    <row r="658" spans="5:5" x14ac:dyDescent="0.2">
      <c r="E658" s="872"/>
    </row>
    <row r="659" spans="5:5" x14ac:dyDescent="0.2">
      <c r="E659" s="872"/>
    </row>
    <row r="660" spans="5:5" x14ac:dyDescent="0.2">
      <c r="E660" s="872"/>
    </row>
    <row r="661" spans="5:5" x14ac:dyDescent="0.2">
      <c r="E661" s="872"/>
    </row>
    <row r="662" spans="5:5" x14ac:dyDescent="0.2">
      <c r="E662" s="872"/>
    </row>
    <row r="663" spans="5:5" x14ac:dyDescent="0.2">
      <c r="E663" s="872"/>
    </row>
    <row r="664" spans="5:5" x14ac:dyDescent="0.2">
      <c r="E664" s="872"/>
    </row>
    <row r="665" spans="5:5" x14ac:dyDescent="0.2">
      <c r="E665" s="872"/>
    </row>
    <row r="666" spans="5:5" x14ac:dyDescent="0.2">
      <c r="E666" s="872"/>
    </row>
    <row r="667" spans="5:5" x14ac:dyDescent="0.2">
      <c r="E667" s="872"/>
    </row>
    <row r="668" spans="5:5" x14ac:dyDescent="0.2">
      <c r="E668" s="872"/>
    </row>
    <row r="669" spans="5:5" x14ac:dyDescent="0.2">
      <c r="E669" s="872"/>
    </row>
    <row r="670" spans="5:5" x14ac:dyDescent="0.2">
      <c r="E670" s="872"/>
    </row>
    <row r="671" spans="5:5" x14ac:dyDescent="0.2">
      <c r="E671" s="872"/>
    </row>
    <row r="672" spans="5:5" x14ac:dyDescent="0.2">
      <c r="E672" s="872"/>
    </row>
    <row r="673" spans="5:5" x14ac:dyDescent="0.2">
      <c r="E673" s="872"/>
    </row>
    <row r="674" spans="5:5" x14ac:dyDescent="0.2">
      <c r="E674" s="872"/>
    </row>
    <row r="675" spans="5:5" x14ac:dyDescent="0.2">
      <c r="E675" s="872"/>
    </row>
    <row r="676" spans="5:5" x14ac:dyDescent="0.2">
      <c r="E676" s="872"/>
    </row>
    <row r="677" spans="5:5" x14ac:dyDescent="0.2">
      <c r="E677" s="872"/>
    </row>
    <row r="678" spans="5:5" x14ac:dyDescent="0.2">
      <c r="E678" s="872"/>
    </row>
    <row r="679" spans="5:5" x14ac:dyDescent="0.2">
      <c r="E679" s="872"/>
    </row>
    <row r="680" spans="5:5" x14ac:dyDescent="0.2">
      <c r="E680" s="872"/>
    </row>
    <row r="681" spans="5:5" x14ac:dyDescent="0.2">
      <c r="E681" s="872"/>
    </row>
    <row r="682" spans="5:5" x14ac:dyDescent="0.2">
      <c r="E682" s="872"/>
    </row>
    <row r="683" spans="5:5" x14ac:dyDescent="0.2">
      <c r="E683" s="872"/>
    </row>
    <row r="684" spans="5:5" x14ac:dyDescent="0.2">
      <c r="E684" s="872"/>
    </row>
    <row r="685" spans="5:5" x14ac:dyDescent="0.2">
      <c r="E685" s="872"/>
    </row>
    <row r="686" spans="5:5" x14ac:dyDescent="0.2">
      <c r="E686" s="872"/>
    </row>
    <row r="687" spans="5:5" x14ac:dyDescent="0.2">
      <c r="E687" s="872"/>
    </row>
    <row r="688" spans="5:5" x14ac:dyDescent="0.2">
      <c r="E688" s="872"/>
    </row>
    <row r="689" spans="5:5" x14ac:dyDescent="0.2">
      <c r="E689" s="872"/>
    </row>
    <row r="690" spans="5:5" x14ac:dyDescent="0.2">
      <c r="E690" s="872"/>
    </row>
    <row r="691" spans="5:5" x14ac:dyDescent="0.2">
      <c r="E691" s="872"/>
    </row>
    <row r="692" spans="5:5" x14ac:dyDescent="0.2">
      <c r="E692" s="872"/>
    </row>
    <row r="693" spans="5:5" x14ac:dyDescent="0.2">
      <c r="E693" s="872"/>
    </row>
    <row r="694" spans="5:5" x14ac:dyDescent="0.2">
      <c r="E694" s="872"/>
    </row>
    <row r="695" spans="5:5" x14ac:dyDescent="0.2">
      <c r="E695" s="872"/>
    </row>
    <row r="696" spans="5:5" x14ac:dyDescent="0.2">
      <c r="E696" s="872"/>
    </row>
    <row r="697" spans="5:5" x14ac:dyDescent="0.2">
      <c r="E697" s="872"/>
    </row>
    <row r="698" spans="5:5" x14ac:dyDescent="0.2">
      <c r="E698" s="872"/>
    </row>
    <row r="699" spans="5:5" x14ac:dyDescent="0.2">
      <c r="E699" s="872"/>
    </row>
    <row r="700" spans="5:5" x14ac:dyDescent="0.2">
      <c r="E700" s="872"/>
    </row>
    <row r="701" spans="5:5" x14ac:dyDescent="0.2">
      <c r="E701" s="872"/>
    </row>
    <row r="702" spans="5:5" x14ac:dyDescent="0.2">
      <c r="E702" s="872"/>
    </row>
    <row r="703" spans="5:5" x14ac:dyDescent="0.2">
      <c r="E703" s="872"/>
    </row>
    <row r="704" spans="5:5" x14ac:dyDescent="0.2">
      <c r="E704" s="872"/>
    </row>
    <row r="705" spans="5:5" x14ac:dyDescent="0.2">
      <c r="E705" s="872"/>
    </row>
    <row r="706" spans="5:5" x14ac:dyDescent="0.2">
      <c r="E706" s="872"/>
    </row>
    <row r="707" spans="5:5" x14ac:dyDescent="0.2">
      <c r="E707" s="872"/>
    </row>
    <row r="708" spans="5:5" x14ac:dyDescent="0.2">
      <c r="E708" s="872"/>
    </row>
    <row r="709" spans="5:5" x14ac:dyDescent="0.2">
      <c r="E709" s="872"/>
    </row>
    <row r="710" spans="5:5" x14ac:dyDescent="0.2">
      <c r="E710" s="872"/>
    </row>
    <row r="711" spans="5:5" x14ac:dyDescent="0.2">
      <c r="E711" s="872"/>
    </row>
    <row r="712" spans="5:5" x14ac:dyDescent="0.2">
      <c r="E712" s="872"/>
    </row>
    <row r="713" spans="5:5" x14ac:dyDescent="0.2">
      <c r="E713" s="872"/>
    </row>
    <row r="714" spans="5:5" x14ac:dyDescent="0.2">
      <c r="E714" s="872"/>
    </row>
    <row r="715" spans="5:5" x14ac:dyDescent="0.2">
      <c r="E715" s="872"/>
    </row>
    <row r="716" spans="5:5" x14ac:dyDescent="0.2">
      <c r="E716" s="872"/>
    </row>
    <row r="717" spans="5:5" x14ac:dyDescent="0.2">
      <c r="E717" s="872"/>
    </row>
    <row r="718" spans="5:5" x14ac:dyDescent="0.2">
      <c r="E718" s="872"/>
    </row>
    <row r="719" spans="5:5" x14ac:dyDescent="0.2">
      <c r="E719" s="872"/>
    </row>
    <row r="720" spans="5:5" x14ac:dyDescent="0.2">
      <c r="E720" s="872"/>
    </row>
    <row r="721" spans="5:5" x14ac:dyDescent="0.2">
      <c r="E721" s="872"/>
    </row>
    <row r="722" spans="5:5" x14ac:dyDescent="0.2">
      <c r="E722" s="872"/>
    </row>
    <row r="723" spans="5:5" x14ac:dyDescent="0.2">
      <c r="E723" s="872"/>
    </row>
    <row r="724" spans="5:5" x14ac:dyDescent="0.2">
      <c r="E724" s="872"/>
    </row>
    <row r="725" spans="5:5" x14ac:dyDescent="0.2">
      <c r="E725" s="872"/>
    </row>
    <row r="726" spans="5:5" x14ac:dyDescent="0.2">
      <c r="E726" s="872"/>
    </row>
    <row r="727" spans="5:5" x14ac:dyDescent="0.2">
      <c r="E727" s="872"/>
    </row>
    <row r="728" spans="5:5" x14ac:dyDescent="0.2">
      <c r="E728" s="872"/>
    </row>
    <row r="729" spans="5:5" x14ac:dyDescent="0.2">
      <c r="E729" s="872"/>
    </row>
    <row r="730" spans="5:5" x14ac:dyDescent="0.2">
      <c r="E730" s="872"/>
    </row>
    <row r="731" spans="5:5" x14ac:dyDescent="0.2">
      <c r="E731" s="872"/>
    </row>
    <row r="732" spans="5:5" x14ac:dyDescent="0.2">
      <c r="E732" s="872"/>
    </row>
    <row r="733" spans="5:5" x14ac:dyDescent="0.2">
      <c r="E733" s="872"/>
    </row>
    <row r="734" spans="5:5" x14ac:dyDescent="0.2">
      <c r="E734" s="872"/>
    </row>
    <row r="735" spans="5:5" x14ac:dyDescent="0.2">
      <c r="E735" s="872"/>
    </row>
    <row r="736" spans="5:5" x14ac:dyDescent="0.2">
      <c r="E736" s="872"/>
    </row>
    <row r="737" spans="5:5" x14ac:dyDescent="0.2">
      <c r="E737" s="872"/>
    </row>
    <row r="738" spans="5:5" x14ac:dyDescent="0.2">
      <c r="E738" s="872"/>
    </row>
    <row r="739" spans="5:5" x14ac:dyDescent="0.2">
      <c r="E739" s="872"/>
    </row>
    <row r="740" spans="5:5" x14ac:dyDescent="0.2">
      <c r="E740" s="872"/>
    </row>
    <row r="741" spans="5:5" x14ac:dyDescent="0.2">
      <c r="E741" s="872"/>
    </row>
    <row r="742" spans="5:5" x14ac:dyDescent="0.2">
      <c r="E742" s="872"/>
    </row>
    <row r="743" spans="5:5" x14ac:dyDescent="0.2">
      <c r="E743" s="872"/>
    </row>
    <row r="744" spans="5:5" x14ac:dyDescent="0.2">
      <c r="E744" s="872"/>
    </row>
    <row r="745" spans="5:5" x14ac:dyDescent="0.2">
      <c r="E745" s="872"/>
    </row>
    <row r="746" spans="5:5" x14ac:dyDescent="0.2">
      <c r="E746" s="872"/>
    </row>
    <row r="747" spans="5:5" x14ac:dyDescent="0.2">
      <c r="E747" s="872"/>
    </row>
    <row r="748" spans="5:5" x14ac:dyDescent="0.2">
      <c r="E748" s="872"/>
    </row>
    <row r="749" spans="5:5" x14ac:dyDescent="0.2">
      <c r="E749" s="872"/>
    </row>
    <row r="750" spans="5:5" x14ac:dyDescent="0.2">
      <c r="E750" s="872"/>
    </row>
    <row r="751" spans="5:5" x14ac:dyDescent="0.2">
      <c r="E751" s="872"/>
    </row>
    <row r="752" spans="5:5" x14ac:dyDescent="0.2">
      <c r="E752" s="872"/>
    </row>
    <row r="753" spans="5:5" x14ac:dyDescent="0.2">
      <c r="E753" s="872"/>
    </row>
    <row r="754" spans="5:5" x14ac:dyDescent="0.2">
      <c r="E754" s="872"/>
    </row>
    <row r="755" spans="5:5" x14ac:dyDescent="0.2">
      <c r="E755" s="872"/>
    </row>
    <row r="756" spans="5:5" x14ac:dyDescent="0.2">
      <c r="E756" s="872"/>
    </row>
    <row r="757" spans="5:5" x14ac:dyDescent="0.2">
      <c r="E757" s="872"/>
    </row>
    <row r="758" spans="5:5" x14ac:dyDescent="0.2">
      <c r="E758" s="872"/>
    </row>
    <row r="759" spans="5:5" x14ac:dyDescent="0.2">
      <c r="E759" s="872"/>
    </row>
    <row r="760" spans="5:5" x14ac:dyDescent="0.2">
      <c r="E760" s="872"/>
    </row>
    <row r="761" spans="5:5" x14ac:dyDescent="0.2">
      <c r="E761" s="872"/>
    </row>
    <row r="762" spans="5:5" x14ac:dyDescent="0.2">
      <c r="E762" s="872"/>
    </row>
    <row r="763" spans="5:5" x14ac:dyDescent="0.2">
      <c r="E763" s="872"/>
    </row>
    <row r="764" spans="5:5" x14ac:dyDescent="0.2">
      <c r="E764" s="872"/>
    </row>
    <row r="765" spans="5:5" x14ac:dyDescent="0.2">
      <c r="E765" s="872"/>
    </row>
    <row r="766" spans="5:5" x14ac:dyDescent="0.2">
      <c r="E766" s="872"/>
    </row>
    <row r="767" spans="5:5" x14ac:dyDescent="0.2">
      <c r="E767" s="872"/>
    </row>
    <row r="768" spans="5:5" x14ac:dyDescent="0.2">
      <c r="E768" s="872"/>
    </row>
    <row r="769" spans="5:5" x14ac:dyDescent="0.2">
      <c r="E769" s="872"/>
    </row>
    <row r="770" spans="5:5" x14ac:dyDescent="0.2">
      <c r="E770" s="872"/>
    </row>
    <row r="771" spans="5:5" x14ac:dyDescent="0.2">
      <c r="E771" s="872"/>
    </row>
    <row r="772" spans="5:5" x14ac:dyDescent="0.2">
      <c r="E772" s="872"/>
    </row>
    <row r="773" spans="5:5" x14ac:dyDescent="0.2">
      <c r="E773" s="872"/>
    </row>
    <row r="774" spans="5:5" x14ac:dyDescent="0.2">
      <c r="E774" s="872"/>
    </row>
    <row r="775" spans="5:5" x14ac:dyDescent="0.2">
      <c r="E775" s="872"/>
    </row>
    <row r="776" spans="5:5" x14ac:dyDescent="0.2">
      <c r="E776" s="872"/>
    </row>
    <row r="777" spans="5:5" x14ac:dyDescent="0.2">
      <c r="E777" s="872"/>
    </row>
    <row r="778" spans="5:5" x14ac:dyDescent="0.2">
      <c r="E778" s="872"/>
    </row>
    <row r="779" spans="5:5" x14ac:dyDescent="0.2">
      <c r="E779" s="872"/>
    </row>
    <row r="780" spans="5:5" x14ac:dyDescent="0.2">
      <c r="E780" s="872"/>
    </row>
    <row r="781" spans="5:5" x14ac:dyDescent="0.2">
      <c r="E781" s="872"/>
    </row>
    <row r="782" spans="5:5" x14ac:dyDescent="0.2">
      <c r="E782" s="872"/>
    </row>
    <row r="783" spans="5:5" x14ac:dyDescent="0.2">
      <c r="E783" s="872"/>
    </row>
    <row r="784" spans="5:5" x14ac:dyDescent="0.2">
      <c r="E784" s="872"/>
    </row>
    <row r="785" spans="5:5" x14ac:dyDescent="0.2">
      <c r="E785" s="872"/>
    </row>
    <row r="786" spans="5:5" x14ac:dyDescent="0.2">
      <c r="E786" s="872"/>
    </row>
    <row r="787" spans="5:5" x14ac:dyDescent="0.2">
      <c r="E787" s="872"/>
    </row>
    <row r="788" spans="5:5" x14ac:dyDescent="0.2">
      <c r="E788" s="872"/>
    </row>
    <row r="789" spans="5:5" x14ac:dyDescent="0.2">
      <c r="E789" s="872"/>
    </row>
    <row r="790" spans="5:5" x14ac:dyDescent="0.2">
      <c r="E790" s="872"/>
    </row>
    <row r="791" spans="5:5" x14ac:dyDescent="0.2">
      <c r="E791" s="872"/>
    </row>
    <row r="792" spans="5:5" x14ac:dyDescent="0.2">
      <c r="E792" s="872"/>
    </row>
    <row r="793" spans="5:5" x14ac:dyDescent="0.2">
      <c r="E793" s="872"/>
    </row>
    <row r="794" spans="5:5" x14ac:dyDescent="0.2">
      <c r="E794" s="872"/>
    </row>
    <row r="795" spans="5:5" x14ac:dyDescent="0.2">
      <c r="E795" s="872"/>
    </row>
    <row r="796" spans="5:5" x14ac:dyDescent="0.2">
      <c r="E796" s="872"/>
    </row>
    <row r="797" spans="5:5" x14ac:dyDescent="0.2">
      <c r="E797" s="872"/>
    </row>
    <row r="798" spans="5:5" x14ac:dyDescent="0.2">
      <c r="E798" s="872"/>
    </row>
    <row r="799" spans="5:5" x14ac:dyDescent="0.2">
      <c r="E799" s="872"/>
    </row>
    <row r="800" spans="5:5" x14ac:dyDescent="0.2">
      <c r="E800" s="872"/>
    </row>
    <row r="801" spans="5:5" x14ac:dyDescent="0.2">
      <c r="E801" s="872"/>
    </row>
    <row r="802" spans="5:5" x14ac:dyDescent="0.2">
      <c r="E802" s="872"/>
    </row>
    <row r="803" spans="5:5" x14ac:dyDescent="0.2">
      <c r="E803" s="872"/>
    </row>
    <row r="804" spans="5:5" x14ac:dyDescent="0.2">
      <c r="E804" s="872"/>
    </row>
    <row r="805" spans="5:5" x14ac:dyDescent="0.2">
      <c r="E805" s="872"/>
    </row>
    <row r="806" spans="5:5" x14ac:dyDescent="0.2">
      <c r="E806" s="872"/>
    </row>
    <row r="807" spans="5:5" x14ac:dyDescent="0.2">
      <c r="E807" s="872"/>
    </row>
    <row r="808" spans="5:5" x14ac:dyDescent="0.2">
      <c r="E808" s="872"/>
    </row>
    <row r="809" spans="5:5" x14ac:dyDescent="0.2">
      <c r="E809" s="872"/>
    </row>
    <row r="810" spans="5:5" x14ac:dyDescent="0.2">
      <c r="E810" s="872"/>
    </row>
    <row r="811" spans="5:5" x14ac:dyDescent="0.2">
      <c r="E811" s="872"/>
    </row>
    <row r="812" spans="5:5" x14ac:dyDescent="0.2">
      <c r="E812" s="872"/>
    </row>
    <row r="813" spans="5:5" x14ac:dyDescent="0.2">
      <c r="E813" s="872"/>
    </row>
    <row r="814" spans="5:5" x14ac:dyDescent="0.2">
      <c r="E814" s="872"/>
    </row>
    <row r="815" spans="5:5" x14ac:dyDescent="0.2">
      <c r="E815" s="872"/>
    </row>
    <row r="816" spans="5:5" x14ac:dyDescent="0.2">
      <c r="E816" s="872"/>
    </row>
    <row r="817" spans="5:5" x14ac:dyDescent="0.2">
      <c r="E817" s="872"/>
    </row>
    <row r="818" spans="5:5" x14ac:dyDescent="0.2">
      <c r="E818" s="872"/>
    </row>
    <row r="819" spans="5:5" x14ac:dyDescent="0.2">
      <c r="E819" s="872"/>
    </row>
    <row r="820" spans="5:5" x14ac:dyDescent="0.2">
      <c r="E820" s="872"/>
    </row>
    <row r="821" spans="5:5" x14ac:dyDescent="0.2">
      <c r="E821" s="872"/>
    </row>
    <row r="822" spans="5:5" x14ac:dyDescent="0.2">
      <c r="E822" s="872"/>
    </row>
    <row r="823" spans="5:5" x14ac:dyDescent="0.2">
      <c r="E823" s="872"/>
    </row>
    <row r="824" spans="5:5" x14ac:dyDescent="0.2">
      <c r="E824" s="872"/>
    </row>
    <row r="825" spans="5:5" x14ac:dyDescent="0.2">
      <c r="E825" s="872"/>
    </row>
    <row r="826" spans="5:5" x14ac:dyDescent="0.2">
      <c r="E826" s="872"/>
    </row>
    <row r="827" spans="5:5" x14ac:dyDescent="0.2">
      <c r="E827" s="872"/>
    </row>
    <row r="828" spans="5:5" x14ac:dyDescent="0.2">
      <c r="E828" s="872"/>
    </row>
    <row r="829" spans="5:5" x14ac:dyDescent="0.2">
      <c r="E829" s="872"/>
    </row>
    <row r="830" spans="5:5" x14ac:dyDescent="0.2">
      <c r="E830" s="872"/>
    </row>
    <row r="831" spans="5:5" x14ac:dyDescent="0.2">
      <c r="E831" s="872"/>
    </row>
    <row r="832" spans="5:5" x14ac:dyDescent="0.2">
      <c r="E832" s="872"/>
    </row>
    <row r="833" spans="5:5" x14ac:dyDescent="0.2">
      <c r="E833" s="872"/>
    </row>
    <row r="834" spans="5:5" x14ac:dyDescent="0.2">
      <c r="E834" s="872"/>
    </row>
    <row r="835" spans="5:5" x14ac:dyDescent="0.2">
      <c r="E835" s="872"/>
    </row>
    <row r="836" spans="5:5" x14ac:dyDescent="0.2">
      <c r="E836" s="872"/>
    </row>
    <row r="837" spans="5:5" x14ac:dyDescent="0.2">
      <c r="E837" s="872"/>
    </row>
    <row r="838" spans="5:5" x14ac:dyDescent="0.2">
      <c r="E838" s="872"/>
    </row>
    <row r="839" spans="5:5" x14ac:dyDescent="0.2">
      <c r="E839" s="872"/>
    </row>
    <row r="840" spans="5:5" x14ac:dyDescent="0.2">
      <c r="E840" s="872"/>
    </row>
    <row r="841" spans="5:5" x14ac:dyDescent="0.2">
      <c r="E841" s="872"/>
    </row>
    <row r="842" spans="5:5" x14ac:dyDescent="0.2">
      <c r="E842" s="872"/>
    </row>
    <row r="843" spans="5:5" x14ac:dyDescent="0.2">
      <c r="E843" s="872"/>
    </row>
    <row r="844" spans="5:5" x14ac:dyDescent="0.2">
      <c r="E844" s="872"/>
    </row>
    <row r="845" spans="5:5" x14ac:dyDescent="0.2">
      <c r="E845" s="872"/>
    </row>
    <row r="846" spans="5:5" x14ac:dyDescent="0.2">
      <c r="E846" s="872"/>
    </row>
    <row r="847" spans="5:5" x14ac:dyDescent="0.2">
      <c r="E847" s="872"/>
    </row>
    <row r="848" spans="5:5" x14ac:dyDescent="0.2">
      <c r="E848" s="872"/>
    </row>
    <row r="849" spans="5:5" x14ac:dyDescent="0.2">
      <c r="E849" s="872"/>
    </row>
    <row r="850" spans="5:5" x14ac:dyDescent="0.2">
      <c r="E850" s="872"/>
    </row>
    <row r="851" spans="5:5" x14ac:dyDescent="0.2">
      <c r="E851" s="872"/>
    </row>
    <row r="852" spans="5:5" x14ac:dyDescent="0.2">
      <c r="E852" s="872"/>
    </row>
    <row r="853" spans="5:5" x14ac:dyDescent="0.2">
      <c r="E853" s="872"/>
    </row>
    <row r="854" spans="5:5" x14ac:dyDescent="0.2">
      <c r="E854" s="872"/>
    </row>
    <row r="855" spans="5:5" x14ac:dyDescent="0.2">
      <c r="E855" s="872"/>
    </row>
    <row r="856" spans="5:5" x14ac:dyDescent="0.2">
      <c r="E856" s="872"/>
    </row>
    <row r="857" spans="5:5" x14ac:dyDescent="0.2">
      <c r="E857" s="872"/>
    </row>
    <row r="858" spans="5:5" x14ac:dyDescent="0.2">
      <c r="E858" s="872"/>
    </row>
    <row r="859" spans="5:5" x14ac:dyDescent="0.2">
      <c r="E859" s="872"/>
    </row>
    <row r="860" spans="5:5" x14ac:dyDescent="0.2">
      <c r="E860" s="872"/>
    </row>
    <row r="861" spans="5:5" x14ac:dyDescent="0.2">
      <c r="E861" s="872"/>
    </row>
    <row r="862" spans="5:5" x14ac:dyDescent="0.2">
      <c r="E862" s="872"/>
    </row>
    <row r="863" spans="5:5" x14ac:dyDescent="0.2">
      <c r="E863" s="872"/>
    </row>
    <row r="864" spans="5:5" x14ac:dyDescent="0.2">
      <c r="E864" s="872"/>
    </row>
    <row r="865" spans="5:5" x14ac:dyDescent="0.2">
      <c r="E865" s="872"/>
    </row>
    <row r="866" spans="5:5" x14ac:dyDescent="0.2">
      <c r="E866" s="872"/>
    </row>
    <row r="867" spans="5:5" x14ac:dyDescent="0.2">
      <c r="E867" s="872"/>
    </row>
    <row r="868" spans="5:5" x14ac:dyDescent="0.2">
      <c r="E868" s="872"/>
    </row>
    <row r="869" spans="5:5" x14ac:dyDescent="0.2">
      <c r="E869" s="872"/>
    </row>
    <row r="870" spans="5:5" x14ac:dyDescent="0.2">
      <c r="E870" s="872"/>
    </row>
    <row r="871" spans="5:5" x14ac:dyDescent="0.2">
      <c r="E871" s="872"/>
    </row>
    <row r="872" spans="5:5" x14ac:dyDescent="0.2">
      <c r="E872" s="872"/>
    </row>
    <row r="873" spans="5:5" x14ac:dyDescent="0.2">
      <c r="E873" s="872"/>
    </row>
    <row r="874" spans="5:5" x14ac:dyDescent="0.2">
      <c r="E874" s="872"/>
    </row>
    <row r="875" spans="5:5" x14ac:dyDescent="0.2">
      <c r="E875" s="872"/>
    </row>
    <row r="876" spans="5:5" x14ac:dyDescent="0.2">
      <c r="E876" s="872"/>
    </row>
    <row r="877" spans="5:5" x14ac:dyDescent="0.2">
      <c r="E877" s="872"/>
    </row>
    <row r="878" spans="5:5" x14ac:dyDescent="0.2">
      <c r="E878" s="872"/>
    </row>
    <row r="879" spans="5:5" x14ac:dyDescent="0.2">
      <c r="E879" s="872"/>
    </row>
    <row r="880" spans="5:5" x14ac:dyDescent="0.2">
      <c r="E880" s="872"/>
    </row>
    <row r="881" spans="5:5" x14ac:dyDescent="0.2">
      <c r="E881" s="872"/>
    </row>
    <row r="882" spans="5:5" x14ac:dyDescent="0.2">
      <c r="E882" s="872"/>
    </row>
    <row r="883" spans="5:5" x14ac:dyDescent="0.2">
      <c r="E883" s="872"/>
    </row>
    <row r="884" spans="5:5" x14ac:dyDescent="0.2">
      <c r="E884" s="872"/>
    </row>
    <row r="885" spans="5:5" x14ac:dyDescent="0.2">
      <c r="E885" s="872"/>
    </row>
    <row r="886" spans="5:5" x14ac:dyDescent="0.2">
      <c r="E886" s="872"/>
    </row>
    <row r="887" spans="5:5" x14ac:dyDescent="0.2">
      <c r="E887" s="872"/>
    </row>
    <row r="888" spans="5:5" x14ac:dyDescent="0.2">
      <c r="E888" s="872"/>
    </row>
    <row r="889" spans="5:5" x14ac:dyDescent="0.2">
      <c r="E889" s="872"/>
    </row>
    <row r="890" spans="5:5" x14ac:dyDescent="0.2">
      <c r="E890" s="872"/>
    </row>
    <row r="891" spans="5:5" x14ac:dyDescent="0.2">
      <c r="E891" s="872"/>
    </row>
    <row r="892" spans="5:5" x14ac:dyDescent="0.2">
      <c r="E892" s="872"/>
    </row>
    <row r="893" spans="5:5" x14ac:dyDescent="0.2">
      <c r="E893" s="872"/>
    </row>
    <row r="894" spans="5:5" x14ac:dyDescent="0.2">
      <c r="E894" s="872"/>
    </row>
    <row r="895" spans="5:5" x14ac:dyDescent="0.2">
      <c r="E895" s="872"/>
    </row>
    <row r="896" spans="5:5" x14ac:dyDescent="0.2">
      <c r="E896" s="872"/>
    </row>
    <row r="897" spans="5:5" x14ac:dyDescent="0.2">
      <c r="E897" s="872"/>
    </row>
    <row r="898" spans="5:5" x14ac:dyDescent="0.2">
      <c r="E898" s="872"/>
    </row>
    <row r="899" spans="5:5" x14ac:dyDescent="0.2">
      <c r="E899" s="872"/>
    </row>
    <row r="900" spans="5:5" x14ac:dyDescent="0.2">
      <c r="E900" s="872"/>
    </row>
    <row r="901" spans="5:5" x14ac:dyDescent="0.2">
      <c r="E901" s="872"/>
    </row>
    <row r="902" spans="5:5" x14ac:dyDescent="0.2">
      <c r="E902" s="872"/>
    </row>
    <row r="903" spans="5:5" x14ac:dyDescent="0.2">
      <c r="E903" s="872"/>
    </row>
    <row r="904" spans="5:5" x14ac:dyDescent="0.2">
      <c r="E904" s="872"/>
    </row>
    <row r="905" spans="5:5" x14ac:dyDescent="0.2">
      <c r="E905" s="872"/>
    </row>
    <row r="906" spans="5:5" x14ac:dyDescent="0.2">
      <c r="E906" s="872"/>
    </row>
    <row r="907" spans="5:5" x14ac:dyDescent="0.2">
      <c r="E907" s="872"/>
    </row>
    <row r="908" spans="5:5" x14ac:dyDescent="0.2">
      <c r="E908" s="872"/>
    </row>
    <row r="909" spans="5:5" x14ac:dyDescent="0.2">
      <c r="E909" s="872"/>
    </row>
    <row r="910" spans="5:5" x14ac:dyDescent="0.2">
      <c r="E910" s="872"/>
    </row>
    <row r="911" spans="5:5" x14ac:dyDescent="0.2">
      <c r="E911" s="872"/>
    </row>
    <row r="912" spans="5:5" x14ac:dyDescent="0.2">
      <c r="E912" s="872"/>
    </row>
    <row r="913" spans="5:5" x14ac:dyDescent="0.2">
      <c r="E913" s="872"/>
    </row>
    <row r="914" spans="5:5" x14ac:dyDescent="0.2">
      <c r="E914" s="872"/>
    </row>
    <row r="915" spans="5:5" x14ac:dyDescent="0.2">
      <c r="E915" s="872"/>
    </row>
    <row r="916" spans="5:5" x14ac:dyDescent="0.2">
      <c r="E916" s="872"/>
    </row>
    <row r="917" spans="5:5" x14ac:dyDescent="0.2">
      <c r="E917" s="872"/>
    </row>
    <row r="918" spans="5:5" x14ac:dyDescent="0.2">
      <c r="E918" s="872"/>
    </row>
    <row r="919" spans="5:5" x14ac:dyDescent="0.2">
      <c r="E919" s="872"/>
    </row>
    <row r="920" spans="5:5" x14ac:dyDescent="0.2">
      <c r="E920" s="872"/>
    </row>
    <row r="921" spans="5:5" x14ac:dyDescent="0.2">
      <c r="E921" s="872"/>
    </row>
    <row r="922" spans="5:5" x14ac:dyDescent="0.2">
      <c r="E922" s="872"/>
    </row>
    <row r="923" spans="5:5" x14ac:dyDescent="0.2">
      <c r="E923" s="872"/>
    </row>
    <row r="924" spans="5:5" x14ac:dyDescent="0.2">
      <c r="E924" s="872"/>
    </row>
    <row r="925" spans="5:5" x14ac:dyDescent="0.2">
      <c r="E925" s="872"/>
    </row>
    <row r="926" spans="5:5" x14ac:dyDescent="0.2">
      <c r="E926" s="872"/>
    </row>
    <row r="927" spans="5:5" x14ac:dyDescent="0.2">
      <c r="E927" s="872"/>
    </row>
    <row r="928" spans="5:5" x14ac:dyDescent="0.2">
      <c r="E928" s="872"/>
    </row>
    <row r="929" spans="5:5" x14ac:dyDescent="0.2">
      <c r="E929" s="872"/>
    </row>
    <row r="930" spans="5:5" x14ac:dyDescent="0.2">
      <c r="E930" s="872"/>
    </row>
    <row r="931" spans="5:5" x14ac:dyDescent="0.2">
      <c r="E931" s="872"/>
    </row>
    <row r="932" spans="5:5" x14ac:dyDescent="0.2">
      <c r="E932" s="872"/>
    </row>
    <row r="933" spans="5:5" x14ac:dyDescent="0.2">
      <c r="E933" s="872"/>
    </row>
    <row r="934" spans="5:5" x14ac:dyDescent="0.2">
      <c r="E934" s="872"/>
    </row>
    <row r="935" spans="5:5" x14ac:dyDescent="0.2">
      <c r="E935" s="872"/>
    </row>
    <row r="936" spans="5:5" x14ac:dyDescent="0.2">
      <c r="E936" s="872"/>
    </row>
    <row r="937" spans="5:5" x14ac:dyDescent="0.2">
      <c r="E937" s="872"/>
    </row>
    <row r="938" spans="5:5" x14ac:dyDescent="0.2">
      <c r="E938" s="872"/>
    </row>
    <row r="939" spans="5:5" x14ac:dyDescent="0.2">
      <c r="E939" s="872"/>
    </row>
    <row r="940" spans="5:5" x14ac:dyDescent="0.2">
      <c r="E940" s="872"/>
    </row>
    <row r="941" spans="5:5" x14ac:dyDescent="0.2">
      <c r="E941" s="872"/>
    </row>
    <row r="942" spans="5:5" x14ac:dyDescent="0.2">
      <c r="E942" s="872"/>
    </row>
    <row r="943" spans="5:5" x14ac:dyDescent="0.2">
      <c r="E943" s="872"/>
    </row>
    <row r="944" spans="5:5" x14ac:dyDescent="0.2">
      <c r="E944" s="872"/>
    </row>
    <row r="945" spans="5:5" x14ac:dyDescent="0.2">
      <c r="E945" s="872"/>
    </row>
    <row r="946" spans="5:5" x14ac:dyDescent="0.2">
      <c r="E946" s="872"/>
    </row>
    <row r="947" spans="5:5" x14ac:dyDescent="0.2">
      <c r="E947" s="872"/>
    </row>
    <row r="948" spans="5:5" x14ac:dyDescent="0.2">
      <c r="E948" s="872"/>
    </row>
    <row r="949" spans="5:5" x14ac:dyDescent="0.2">
      <c r="E949" s="872"/>
    </row>
    <row r="950" spans="5:5" x14ac:dyDescent="0.2">
      <c r="E950" s="872"/>
    </row>
    <row r="951" spans="5:5" x14ac:dyDescent="0.2">
      <c r="E951" s="872"/>
    </row>
    <row r="952" spans="5:5" x14ac:dyDescent="0.2">
      <c r="E952" s="872"/>
    </row>
    <row r="953" spans="5:5" x14ac:dyDescent="0.2">
      <c r="E953" s="872"/>
    </row>
    <row r="954" spans="5:5" x14ac:dyDescent="0.2">
      <c r="E954" s="872"/>
    </row>
    <row r="955" spans="5:5" x14ac:dyDescent="0.2">
      <c r="E955" s="872"/>
    </row>
    <row r="956" spans="5:5" x14ac:dyDescent="0.2">
      <c r="E956" s="872"/>
    </row>
    <row r="957" spans="5:5" x14ac:dyDescent="0.2">
      <c r="E957" s="872"/>
    </row>
    <row r="958" spans="5:5" x14ac:dyDescent="0.2">
      <c r="E958" s="872"/>
    </row>
    <row r="959" spans="5:5" x14ac:dyDescent="0.2">
      <c r="E959" s="872"/>
    </row>
    <row r="960" spans="5:5" x14ac:dyDescent="0.2">
      <c r="E960" s="872"/>
    </row>
    <row r="961" spans="5:5" x14ac:dyDescent="0.2">
      <c r="E961" s="872"/>
    </row>
    <row r="962" spans="5:5" x14ac:dyDescent="0.2">
      <c r="E962" s="872"/>
    </row>
    <row r="963" spans="5:5" x14ac:dyDescent="0.2">
      <c r="E963" s="872"/>
    </row>
    <row r="964" spans="5:5" x14ac:dyDescent="0.2">
      <c r="E964" s="872"/>
    </row>
    <row r="965" spans="5:5" x14ac:dyDescent="0.2">
      <c r="E965" s="872"/>
    </row>
    <row r="966" spans="5:5" x14ac:dyDescent="0.2">
      <c r="E966" s="872"/>
    </row>
    <row r="967" spans="5:5" x14ac:dyDescent="0.2">
      <c r="E967" s="872"/>
    </row>
    <row r="968" spans="5:5" x14ac:dyDescent="0.2">
      <c r="E968" s="872"/>
    </row>
    <row r="969" spans="5:5" x14ac:dyDescent="0.2">
      <c r="E969" s="872"/>
    </row>
    <row r="970" spans="5:5" x14ac:dyDescent="0.2">
      <c r="E970" s="872"/>
    </row>
    <row r="971" spans="5:5" x14ac:dyDescent="0.2">
      <c r="E971" s="872"/>
    </row>
    <row r="972" spans="5:5" x14ac:dyDescent="0.2">
      <c r="E972" s="872"/>
    </row>
    <row r="973" spans="5:5" x14ac:dyDescent="0.2">
      <c r="E973" s="872"/>
    </row>
    <row r="974" spans="5:5" x14ac:dyDescent="0.2">
      <c r="E974" s="872"/>
    </row>
    <row r="975" spans="5:5" x14ac:dyDescent="0.2">
      <c r="E975" s="872"/>
    </row>
    <row r="976" spans="5:5" x14ac:dyDescent="0.2">
      <c r="E976" s="872"/>
    </row>
    <row r="977" spans="5:5" x14ac:dyDescent="0.2">
      <c r="E977" s="872"/>
    </row>
    <row r="978" spans="5:5" x14ac:dyDescent="0.2">
      <c r="E978" s="872"/>
    </row>
    <row r="979" spans="5:5" x14ac:dyDescent="0.2">
      <c r="E979" s="872"/>
    </row>
    <row r="980" spans="5:5" x14ac:dyDescent="0.2">
      <c r="E980" s="872"/>
    </row>
    <row r="981" spans="5:5" x14ac:dyDescent="0.2">
      <c r="E981" s="872"/>
    </row>
    <row r="982" spans="5:5" x14ac:dyDescent="0.2">
      <c r="E982" s="872"/>
    </row>
    <row r="983" spans="5:5" x14ac:dyDescent="0.2">
      <c r="E983" s="872"/>
    </row>
    <row r="984" spans="5:5" x14ac:dyDescent="0.2">
      <c r="E984" s="872"/>
    </row>
    <row r="985" spans="5:5" x14ac:dyDescent="0.2">
      <c r="E985" s="872"/>
    </row>
    <row r="986" spans="5:5" x14ac:dyDescent="0.2">
      <c r="E986" s="872"/>
    </row>
    <row r="987" spans="5:5" x14ac:dyDescent="0.2">
      <c r="E987" s="872"/>
    </row>
    <row r="988" spans="5:5" x14ac:dyDescent="0.2">
      <c r="E988" s="872"/>
    </row>
    <row r="989" spans="5:5" x14ac:dyDescent="0.2">
      <c r="E989" s="872"/>
    </row>
    <row r="990" spans="5:5" x14ac:dyDescent="0.2">
      <c r="E990" s="872"/>
    </row>
    <row r="991" spans="5:5" x14ac:dyDescent="0.2">
      <c r="E991" s="872"/>
    </row>
    <row r="992" spans="5:5" x14ac:dyDescent="0.2">
      <c r="E992" s="872"/>
    </row>
    <row r="993" spans="5:5" x14ac:dyDescent="0.2">
      <c r="E993" s="872"/>
    </row>
    <row r="994" spans="5:5" x14ac:dyDescent="0.2">
      <c r="E994" s="872"/>
    </row>
    <row r="995" spans="5:5" x14ac:dyDescent="0.2">
      <c r="E995" s="872"/>
    </row>
    <row r="996" spans="5:5" x14ac:dyDescent="0.2">
      <c r="E996" s="872"/>
    </row>
    <row r="997" spans="5:5" x14ac:dyDescent="0.2">
      <c r="E997" s="872"/>
    </row>
    <row r="998" spans="5:5" x14ac:dyDescent="0.2">
      <c r="E998" s="872"/>
    </row>
    <row r="999" spans="5:5" x14ac:dyDescent="0.2">
      <c r="E999" s="872"/>
    </row>
    <row r="1000" spans="5:5" x14ac:dyDescent="0.2">
      <c r="E1000" s="872"/>
    </row>
    <row r="1001" spans="5:5" x14ac:dyDescent="0.2">
      <c r="E1001" s="872"/>
    </row>
    <row r="1002" spans="5:5" x14ac:dyDescent="0.2">
      <c r="E1002" s="872"/>
    </row>
    <row r="1003" spans="5:5" x14ac:dyDescent="0.2">
      <c r="E1003" s="872"/>
    </row>
    <row r="1004" spans="5:5" x14ac:dyDescent="0.2">
      <c r="E1004" s="872"/>
    </row>
    <row r="1005" spans="5:5" x14ac:dyDescent="0.2">
      <c r="E1005" s="872"/>
    </row>
    <row r="1006" spans="5:5" x14ac:dyDescent="0.2">
      <c r="E1006" s="872"/>
    </row>
    <row r="1007" spans="5:5" x14ac:dyDescent="0.2">
      <c r="E1007" s="872"/>
    </row>
    <row r="1008" spans="5:5" x14ac:dyDescent="0.2">
      <c r="E1008" s="872"/>
    </row>
    <row r="1009" spans="5:5" x14ac:dyDescent="0.2">
      <c r="E1009" s="872"/>
    </row>
    <row r="1010" spans="5:5" x14ac:dyDescent="0.2">
      <c r="E1010" s="872"/>
    </row>
    <row r="1011" spans="5:5" x14ac:dyDescent="0.2">
      <c r="E1011" s="872"/>
    </row>
    <row r="1012" spans="5:5" x14ac:dyDescent="0.2">
      <c r="E1012" s="872"/>
    </row>
    <row r="1013" spans="5:5" x14ac:dyDescent="0.2">
      <c r="E1013" s="872"/>
    </row>
    <row r="1014" spans="5:5" x14ac:dyDescent="0.2">
      <c r="E1014" s="872"/>
    </row>
    <row r="1015" spans="5:5" x14ac:dyDescent="0.2">
      <c r="E1015" s="872"/>
    </row>
    <row r="1016" spans="5:5" x14ac:dyDescent="0.2">
      <c r="E1016" s="872"/>
    </row>
    <row r="1017" spans="5:5" x14ac:dyDescent="0.2">
      <c r="E1017" s="872"/>
    </row>
    <row r="1018" spans="5:5" x14ac:dyDescent="0.2">
      <c r="E1018" s="872"/>
    </row>
    <row r="1019" spans="5:5" x14ac:dyDescent="0.2">
      <c r="E1019" s="872"/>
    </row>
    <row r="1020" spans="5:5" x14ac:dyDescent="0.2">
      <c r="E1020" s="872"/>
    </row>
    <row r="1021" spans="5:5" x14ac:dyDescent="0.2">
      <c r="E1021" s="872"/>
    </row>
    <row r="1022" spans="5:5" x14ac:dyDescent="0.2">
      <c r="E1022" s="872"/>
    </row>
    <row r="1023" spans="5:5" x14ac:dyDescent="0.2">
      <c r="E1023" s="872"/>
    </row>
    <row r="1024" spans="5:5" x14ac:dyDescent="0.2">
      <c r="E1024" s="872"/>
    </row>
    <row r="1025" spans="5:5" x14ac:dyDescent="0.2">
      <c r="E1025" s="872"/>
    </row>
    <row r="1026" spans="5:5" x14ac:dyDescent="0.2">
      <c r="E1026" s="872"/>
    </row>
    <row r="1027" spans="5:5" x14ac:dyDescent="0.2">
      <c r="E1027" s="872"/>
    </row>
    <row r="1028" spans="5:5" x14ac:dyDescent="0.2">
      <c r="E1028" s="872"/>
    </row>
    <row r="1029" spans="5:5" x14ac:dyDescent="0.2">
      <c r="E1029" s="872"/>
    </row>
    <row r="1030" spans="5:5" x14ac:dyDescent="0.2">
      <c r="E1030" s="872"/>
    </row>
    <row r="1031" spans="5:5" x14ac:dyDescent="0.2">
      <c r="E1031" s="872"/>
    </row>
    <row r="1032" spans="5:5" x14ac:dyDescent="0.2">
      <c r="E1032" s="872"/>
    </row>
    <row r="1033" spans="5:5" x14ac:dyDescent="0.2">
      <c r="E1033" s="872"/>
    </row>
    <row r="1034" spans="5:5" x14ac:dyDescent="0.2">
      <c r="E1034" s="872"/>
    </row>
    <row r="1035" spans="5:5" x14ac:dyDescent="0.2">
      <c r="E1035" s="872"/>
    </row>
    <row r="1036" spans="5:5" x14ac:dyDescent="0.2">
      <c r="E1036" s="872"/>
    </row>
    <row r="1037" spans="5:5" x14ac:dyDescent="0.2">
      <c r="E1037" s="872"/>
    </row>
    <row r="1038" spans="5:5" x14ac:dyDescent="0.2">
      <c r="E1038" s="872"/>
    </row>
    <row r="1039" spans="5:5" x14ac:dyDescent="0.2">
      <c r="E1039" s="872"/>
    </row>
    <row r="1040" spans="5:5" x14ac:dyDescent="0.2">
      <c r="E1040" s="872"/>
    </row>
    <row r="1041" spans="5:5" x14ac:dyDescent="0.2">
      <c r="E1041" s="872"/>
    </row>
    <row r="1042" spans="5:5" x14ac:dyDescent="0.2">
      <c r="E1042" s="872"/>
    </row>
    <row r="1043" spans="5:5" x14ac:dyDescent="0.2">
      <c r="E1043" s="872"/>
    </row>
    <row r="1044" spans="5:5" x14ac:dyDescent="0.2">
      <c r="E1044" s="872"/>
    </row>
    <row r="1045" spans="5:5" x14ac:dyDescent="0.2">
      <c r="E1045" s="872"/>
    </row>
    <row r="1046" spans="5:5" x14ac:dyDescent="0.2">
      <c r="E1046" s="872"/>
    </row>
    <row r="1047" spans="5:5" x14ac:dyDescent="0.2">
      <c r="E1047" s="872"/>
    </row>
    <row r="1048" spans="5:5" x14ac:dyDescent="0.2">
      <c r="E1048" s="872"/>
    </row>
    <row r="1049" spans="5:5" x14ac:dyDescent="0.2">
      <c r="E1049" s="872"/>
    </row>
    <row r="1050" spans="5:5" x14ac:dyDescent="0.2">
      <c r="E1050" s="872"/>
    </row>
    <row r="1051" spans="5:5" x14ac:dyDescent="0.2">
      <c r="E1051" s="872"/>
    </row>
    <row r="1052" spans="5:5" x14ac:dyDescent="0.2">
      <c r="E1052" s="872"/>
    </row>
    <row r="1053" spans="5:5" x14ac:dyDescent="0.2">
      <c r="E1053" s="872"/>
    </row>
    <row r="1054" spans="5:5" x14ac:dyDescent="0.2">
      <c r="E1054" s="872"/>
    </row>
    <row r="1055" spans="5:5" x14ac:dyDescent="0.2">
      <c r="E1055" s="872"/>
    </row>
    <row r="1056" spans="5:5" x14ac:dyDescent="0.2">
      <c r="E1056" s="872"/>
    </row>
    <row r="1057" spans="5:5" x14ac:dyDescent="0.2">
      <c r="E1057" s="872"/>
    </row>
    <row r="1058" spans="5:5" x14ac:dyDescent="0.2">
      <c r="E1058" s="872"/>
    </row>
    <row r="1059" spans="5:5" x14ac:dyDescent="0.2">
      <c r="E1059" s="872"/>
    </row>
    <row r="1060" spans="5:5" x14ac:dyDescent="0.2">
      <c r="E1060" s="872"/>
    </row>
    <row r="1061" spans="5:5" x14ac:dyDescent="0.2">
      <c r="E1061" s="872"/>
    </row>
    <row r="1062" spans="5:5" x14ac:dyDescent="0.2">
      <c r="E1062" s="872"/>
    </row>
    <row r="1063" spans="5:5" x14ac:dyDescent="0.2">
      <c r="E1063" s="872"/>
    </row>
    <row r="1064" spans="5:5" x14ac:dyDescent="0.2">
      <c r="E1064" s="872"/>
    </row>
    <row r="1065" spans="5:5" x14ac:dyDescent="0.2">
      <c r="E1065" s="872"/>
    </row>
    <row r="1066" spans="5:5" x14ac:dyDescent="0.2">
      <c r="E1066" s="872"/>
    </row>
    <row r="1067" spans="5:5" x14ac:dyDescent="0.2">
      <c r="E1067" s="872"/>
    </row>
    <row r="1068" spans="5:5" x14ac:dyDescent="0.2">
      <c r="E1068" s="872"/>
    </row>
    <row r="1069" spans="5:5" x14ac:dyDescent="0.2">
      <c r="E1069" s="872"/>
    </row>
    <row r="1070" spans="5:5" x14ac:dyDescent="0.2">
      <c r="E1070" s="872"/>
    </row>
    <row r="1071" spans="5:5" x14ac:dyDescent="0.2">
      <c r="E1071" s="872"/>
    </row>
    <row r="1072" spans="5:5" x14ac:dyDescent="0.2">
      <c r="E1072" s="872"/>
    </row>
    <row r="1073" spans="5:5" x14ac:dyDescent="0.2">
      <c r="E1073" s="872"/>
    </row>
    <row r="1074" spans="5:5" x14ac:dyDescent="0.2">
      <c r="E1074" s="872"/>
    </row>
    <row r="1075" spans="5:5" x14ac:dyDescent="0.2">
      <c r="E1075" s="872"/>
    </row>
    <row r="1076" spans="5:5" x14ac:dyDescent="0.2">
      <c r="E1076" s="872"/>
    </row>
    <row r="1077" spans="5:5" x14ac:dyDescent="0.2">
      <c r="E1077" s="872"/>
    </row>
    <row r="1078" spans="5:5" x14ac:dyDescent="0.2">
      <c r="E1078" s="872"/>
    </row>
    <row r="1079" spans="5:5" x14ac:dyDescent="0.2">
      <c r="E1079" s="872"/>
    </row>
    <row r="1080" spans="5:5" x14ac:dyDescent="0.2">
      <c r="E1080" s="872"/>
    </row>
    <row r="1081" spans="5:5" x14ac:dyDescent="0.2">
      <c r="E1081" s="872"/>
    </row>
    <row r="1082" spans="5:5" x14ac:dyDescent="0.2">
      <c r="E1082" s="872"/>
    </row>
    <row r="1083" spans="5:5" x14ac:dyDescent="0.2">
      <c r="E1083" s="872"/>
    </row>
    <row r="1084" spans="5:5" x14ac:dyDescent="0.2">
      <c r="E1084" s="872"/>
    </row>
    <row r="1085" spans="5:5" x14ac:dyDescent="0.2">
      <c r="E1085" s="872"/>
    </row>
    <row r="1086" spans="5:5" x14ac:dyDescent="0.2">
      <c r="E1086" s="872"/>
    </row>
    <row r="1087" spans="5:5" x14ac:dyDescent="0.2">
      <c r="E1087" s="872"/>
    </row>
    <row r="1088" spans="5:5" x14ac:dyDescent="0.2">
      <c r="E1088" s="872"/>
    </row>
    <row r="1089" spans="5:5" x14ac:dyDescent="0.2">
      <c r="E1089" s="872"/>
    </row>
    <row r="1090" spans="5:5" x14ac:dyDescent="0.2">
      <c r="E1090" s="872"/>
    </row>
    <row r="1091" spans="5:5" x14ac:dyDescent="0.2">
      <c r="E1091" s="872"/>
    </row>
    <row r="1092" spans="5:5" x14ac:dyDescent="0.2">
      <c r="E1092" s="872"/>
    </row>
    <row r="1093" spans="5:5" x14ac:dyDescent="0.2">
      <c r="E1093" s="872"/>
    </row>
    <row r="1094" spans="5:5" x14ac:dyDescent="0.2">
      <c r="E1094" s="872"/>
    </row>
    <row r="1095" spans="5:5" x14ac:dyDescent="0.2">
      <c r="E1095" s="872"/>
    </row>
    <row r="1096" spans="5:5" x14ac:dyDescent="0.2">
      <c r="E1096" s="872"/>
    </row>
    <row r="1097" spans="5:5" x14ac:dyDescent="0.2">
      <c r="E1097" s="872"/>
    </row>
    <row r="1098" spans="5:5" x14ac:dyDescent="0.2">
      <c r="E1098" s="872"/>
    </row>
    <row r="1099" spans="5:5" x14ac:dyDescent="0.2">
      <c r="E1099" s="872"/>
    </row>
    <row r="1100" spans="5:5" x14ac:dyDescent="0.2">
      <c r="E1100" s="872"/>
    </row>
    <row r="1101" spans="5:5" x14ac:dyDescent="0.2">
      <c r="E1101" s="872"/>
    </row>
    <row r="1102" spans="5:5" x14ac:dyDescent="0.2">
      <c r="E1102" s="872"/>
    </row>
    <row r="1103" spans="5:5" x14ac:dyDescent="0.2">
      <c r="E1103" s="872"/>
    </row>
    <row r="1104" spans="5:5" x14ac:dyDescent="0.2">
      <c r="E1104" s="872"/>
    </row>
    <row r="1105" spans="5:5" x14ac:dyDescent="0.2">
      <c r="E1105" s="872"/>
    </row>
    <row r="1106" spans="5:5" x14ac:dyDescent="0.2">
      <c r="E1106" s="872"/>
    </row>
    <row r="1107" spans="5:5" x14ac:dyDescent="0.2">
      <c r="E1107" s="872"/>
    </row>
    <row r="1108" spans="5:5" x14ac:dyDescent="0.2">
      <c r="E1108" s="872"/>
    </row>
    <row r="1109" spans="5:5" x14ac:dyDescent="0.2">
      <c r="E1109" s="872"/>
    </row>
    <row r="1110" spans="5:5" x14ac:dyDescent="0.2">
      <c r="E1110" s="872"/>
    </row>
    <row r="1111" spans="5:5" x14ac:dyDescent="0.2">
      <c r="E1111" s="872"/>
    </row>
    <row r="1112" spans="5:5" x14ac:dyDescent="0.2">
      <c r="E1112" s="872"/>
    </row>
    <row r="1113" spans="5:5" x14ac:dyDescent="0.2">
      <c r="E1113" s="872"/>
    </row>
    <row r="1114" spans="5:5" x14ac:dyDescent="0.2">
      <c r="E1114" s="872"/>
    </row>
    <row r="1115" spans="5:5" x14ac:dyDescent="0.2">
      <c r="E1115" s="872"/>
    </row>
    <row r="1116" spans="5:5" x14ac:dyDescent="0.2">
      <c r="E1116" s="872"/>
    </row>
    <row r="1117" spans="5:5" x14ac:dyDescent="0.2">
      <c r="E1117" s="872"/>
    </row>
    <row r="1118" spans="5:5" x14ac:dyDescent="0.2">
      <c r="E1118" s="872"/>
    </row>
    <row r="1119" spans="5:5" x14ac:dyDescent="0.2">
      <c r="E1119" s="872"/>
    </row>
    <row r="1120" spans="5:5" x14ac:dyDescent="0.2">
      <c r="E1120" s="872"/>
    </row>
    <row r="1121" spans="5:5" x14ac:dyDescent="0.2">
      <c r="E1121" s="872"/>
    </row>
    <row r="1122" spans="5:5" x14ac:dyDescent="0.2">
      <c r="E1122" s="872"/>
    </row>
    <row r="1123" spans="5:5" x14ac:dyDescent="0.2">
      <c r="E1123" s="872"/>
    </row>
    <row r="1124" spans="5:5" x14ac:dyDescent="0.2">
      <c r="E1124" s="872"/>
    </row>
    <row r="1125" spans="5:5" x14ac:dyDescent="0.2">
      <c r="E1125" s="872"/>
    </row>
    <row r="1126" spans="5:5" x14ac:dyDescent="0.2">
      <c r="E1126" s="872"/>
    </row>
    <row r="1127" spans="5:5" x14ac:dyDescent="0.2">
      <c r="E1127" s="872"/>
    </row>
    <row r="1128" spans="5:5" x14ac:dyDescent="0.2">
      <c r="E1128" s="872"/>
    </row>
    <row r="1129" spans="5:5" x14ac:dyDescent="0.2">
      <c r="E1129" s="872"/>
    </row>
    <row r="1130" spans="5:5" x14ac:dyDescent="0.2">
      <c r="E1130" s="872"/>
    </row>
    <row r="1131" spans="5:5" x14ac:dyDescent="0.2">
      <c r="E1131" s="872"/>
    </row>
    <row r="1132" spans="5:5" x14ac:dyDescent="0.2">
      <c r="E1132" s="872"/>
    </row>
    <row r="1133" spans="5:5" x14ac:dyDescent="0.2">
      <c r="E1133" s="872"/>
    </row>
    <row r="1134" spans="5:5" x14ac:dyDescent="0.2">
      <c r="E1134" s="872"/>
    </row>
    <row r="1135" spans="5:5" x14ac:dyDescent="0.2">
      <c r="E1135" s="872"/>
    </row>
    <row r="1136" spans="5:5" x14ac:dyDescent="0.2">
      <c r="E1136" s="872"/>
    </row>
    <row r="1137" spans="5:5" x14ac:dyDescent="0.2">
      <c r="E1137" s="872"/>
    </row>
    <row r="1138" spans="5:5" x14ac:dyDescent="0.2">
      <c r="E1138" s="872"/>
    </row>
    <row r="1139" spans="5:5" x14ac:dyDescent="0.2">
      <c r="E1139" s="872"/>
    </row>
    <row r="1140" spans="5:5" x14ac:dyDescent="0.2">
      <c r="E1140" s="872"/>
    </row>
    <row r="1141" spans="5:5" x14ac:dyDescent="0.2">
      <c r="E1141" s="872"/>
    </row>
    <row r="1142" spans="5:5" x14ac:dyDescent="0.2">
      <c r="E1142" s="872"/>
    </row>
    <row r="1143" spans="5:5" x14ac:dyDescent="0.2">
      <c r="E1143" s="872"/>
    </row>
    <row r="1144" spans="5:5" x14ac:dyDescent="0.2">
      <c r="E1144" s="872"/>
    </row>
    <row r="1145" spans="5:5" x14ac:dyDescent="0.2">
      <c r="E1145" s="872"/>
    </row>
    <row r="1146" spans="5:5" x14ac:dyDescent="0.2">
      <c r="E1146" s="872"/>
    </row>
    <row r="1147" spans="5:5" x14ac:dyDescent="0.2">
      <c r="E1147" s="872"/>
    </row>
    <row r="1148" spans="5:5" x14ac:dyDescent="0.2">
      <c r="E1148" s="872"/>
    </row>
    <row r="1149" spans="5:5" x14ac:dyDescent="0.2">
      <c r="E1149" s="872"/>
    </row>
    <row r="1150" spans="5:5" x14ac:dyDescent="0.2">
      <c r="E1150" s="872"/>
    </row>
    <row r="1151" spans="5:5" x14ac:dyDescent="0.2">
      <c r="E1151" s="872"/>
    </row>
    <row r="1152" spans="5:5" x14ac:dyDescent="0.2">
      <c r="E1152" s="872"/>
    </row>
    <row r="1153" spans="5:5" x14ac:dyDescent="0.2">
      <c r="E1153" s="872"/>
    </row>
    <row r="1154" spans="5:5" x14ac:dyDescent="0.2">
      <c r="E1154" s="872"/>
    </row>
    <row r="1155" spans="5:5" x14ac:dyDescent="0.2">
      <c r="E1155" s="872"/>
    </row>
    <row r="1156" spans="5:5" x14ac:dyDescent="0.2">
      <c r="E1156" s="872"/>
    </row>
    <row r="1157" spans="5:5" x14ac:dyDescent="0.2">
      <c r="E1157" s="872"/>
    </row>
    <row r="1158" spans="5:5" x14ac:dyDescent="0.2">
      <c r="E1158" s="872"/>
    </row>
    <row r="1159" spans="5:5" x14ac:dyDescent="0.2">
      <c r="E1159" s="872"/>
    </row>
    <row r="1160" spans="5:5" x14ac:dyDescent="0.2">
      <c r="E1160" s="872"/>
    </row>
    <row r="1161" spans="5:5" x14ac:dyDescent="0.2">
      <c r="E1161" s="872"/>
    </row>
    <row r="1162" spans="5:5" x14ac:dyDescent="0.2">
      <c r="E1162" s="872"/>
    </row>
    <row r="1163" spans="5:5" x14ac:dyDescent="0.2">
      <c r="E1163" s="872"/>
    </row>
    <row r="1164" spans="5:5" x14ac:dyDescent="0.2">
      <c r="E1164" s="872"/>
    </row>
    <row r="1165" spans="5:5" x14ac:dyDescent="0.2">
      <c r="E1165" s="872"/>
    </row>
    <row r="1166" spans="5:5" x14ac:dyDescent="0.2">
      <c r="E1166" s="872"/>
    </row>
    <row r="1167" spans="5:5" x14ac:dyDescent="0.2">
      <c r="E1167" s="872"/>
    </row>
    <row r="1168" spans="5:5" x14ac:dyDescent="0.2">
      <c r="E1168" s="872"/>
    </row>
    <row r="1169" spans="5:5" x14ac:dyDescent="0.2">
      <c r="E1169" s="872"/>
    </row>
    <row r="1170" spans="5:5" x14ac:dyDescent="0.2">
      <c r="E1170" s="872"/>
    </row>
    <row r="1171" spans="5:5" x14ac:dyDescent="0.2">
      <c r="E1171" s="872"/>
    </row>
    <row r="1172" spans="5:5" x14ac:dyDescent="0.2">
      <c r="E1172" s="872"/>
    </row>
    <row r="1173" spans="5:5" x14ac:dyDescent="0.2">
      <c r="E1173" s="872"/>
    </row>
    <row r="1174" spans="5:5" x14ac:dyDescent="0.2">
      <c r="E1174" s="872"/>
    </row>
    <row r="1175" spans="5:5" x14ac:dyDescent="0.2">
      <c r="E1175" s="872"/>
    </row>
    <row r="1176" spans="5:5" x14ac:dyDescent="0.2">
      <c r="E1176" s="872"/>
    </row>
    <row r="1177" spans="5:5" x14ac:dyDescent="0.2">
      <c r="E1177" s="872"/>
    </row>
    <row r="1178" spans="5:5" x14ac:dyDescent="0.2">
      <c r="E1178" s="872"/>
    </row>
    <row r="1179" spans="5:5" x14ac:dyDescent="0.2">
      <c r="E1179" s="872"/>
    </row>
    <row r="1180" spans="5:5" x14ac:dyDescent="0.2">
      <c r="E1180" s="872"/>
    </row>
    <row r="1181" spans="5:5" x14ac:dyDescent="0.2">
      <c r="E1181" s="872"/>
    </row>
    <row r="1182" spans="5:5" x14ac:dyDescent="0.2">
      <c r="E1182" s="872"/>
    </row>
    <row r="1183" spans="5:5" x14ac:dyDescent="0.2">
      <c r="E1183" s="872"/>
    </row>
    <row r="1184" spans="5:5" x14ac:dyDescent="0.2">
      <c r="E1184" s="872"/>
    </row>
    <row r="1185" spans="5:5" x14ac:dyDescent="0.2">
      <c r="E1185" s="872"/>
    </row>
    <row r="1186" spans="5:5" x14ac:dyDescent="0.2">
      <c r="E1186" s="872"/>
    </row>
    <row r="1187" spans="5:5" x14ac:dyDescent="0.2">
      <c r="E1187" s="872"/>
    </row>
    <row r="1188" spans="5:5" x14ac:dyDescent="0.2">
      <c r="E1188" s="872"/>
    </row>
    <row r="1189" spans="5:5" x14ac:dyDescent="0.2">
      <c r="E1189" s="872"/>
    </row>
    <row r="1190" spans="5:5" x14ac:dyDescent="0.2">
      <c r="E1190" s="872"/>
    </row>
    <row r="1191" spans="5:5" x14ac:dyDescent="0.2">
      <c r="E1191" s="872"/>
    </row>
    <row r="1192" spans="5:5" x14ac:dyDescent="0.2">
      <c r="E1192" s="872"/>
    </row>
    <row r="1193" spans="5:5" x14ac:dyDescent="0.2">
      <c r="E1193" s="872"/>
    </row>
    <row r="1194" spans="5:5" x14ac:dyDescent="0.2">
      <c r="E1194" s="872"/>
    </row>
    <row r="1195" spans="5:5" x14ac:dyDescent="0.2">
      <c r="E1195" s="872"/>
    </row>
    <row r="1196" spans="5:5" x14ac:dyDescent="0.2">
      <c r="E1196" s="872"/>
    </row>
    <row r="1197" spans="5:5" x14ac:dyDescent="0.2">
      <c r="E1197" s="872"/>
    </row>
    <row r="1198" spans="5:5" x14ac:dyDescent="0.2">
      <c r="E1198" s="872"/>
    </row>
    <row r="1199" spans="5:5" x14ac:dyDescent="0.2">
      <c r="E1199" s="872"/>
    </row>
    <row r="1200" spans="5:5" x14ac:dyDescent="0.2">
      <c r="E1200" s="872"/>
    </row>
    <row r="1201" spans="5:5" x14ac:dyDescent="0.2">
      <c r="E1201" s="872"/>
    </row>
    <row r="1202" spans="5:5" x14ac:dyDescent="0.2">
      <c r="E1202" s="872"/>
    </row>
    <row r="1203" spans="5:5" x14ac:dyDescent="0.2">
      <c r="E1203" s="872"/>
    </row>
    <row r="1204" spans="5:5" x14ac:dyDescent="0.2">
      <c r="E1204" s="872"/>
    </row>
    <row r="1205" spans="5:5" x14ac:dyDescent="0.2">
      <c r="E1205" s="872"/>
    </row>
    <row r="1206" spans="5:5" x14ac:dyDescent="0.2">
      <c r="E1206" s="872"/>
    </row>
    <row r="1207" spans="5:5" x14ac:dyDescent="0.2">
      <c r="E1207" s="872"/>
    </row>
    <row r="1208" spans="5:5" x14ac:dyDescent="0.2">
      <c r="E1208" s="872"/>
    </row>
    <row r="1209" spans="5:5" x14ac:dyDescent="0.2">
      <c r="E1209" s="872"/>
    </row>
    <row r="1210" spans="5:5" x14ac:dyDescent="0.2">
      <c r="E1210" s="872"/>
    </row>
    <row r="1211" spans="5:5" x14ac:dyDescent="0.2">
      <c r="E1211" s="872"/>
    </row>
    <row r="1212" spans="5:5" x14ac:dyDescent="0.2">
      <c r="E1212" s="872"/>
    </row>
    <row r="1213" spans="5:5" x14ac:dyDescent="0.2">
      <c r="E1213" s="872"/>
    </row>
    <row r="1214" spans="5:5" x14ac:dyDescent="0.2">
      <c r="E1214" s="872"/>
    </row>
    <row r="1215" spans="5:5" x14ac:dyDescent="0.2">
      <c r="E1215" s="872"/>
    </row>
    <row r="1216" spans="5:5" x14ac:dyDescent="0.2">
      <c r="E1216" s="872"/>
    </row>
    <row r="1217" spans="5:5" x14ac:dyDescent="0.2">
      <c r="E1217" s="872"/>
    </row>
    <row r="1218" spans="5:5" x14ac:dyDescent="0.2">
      <c r="E1218" s="872"/>
    </row>
    <row r="1219" spans="5:5" x14ac:dyDescent="0.2">
      <c r="E1219" s="872"/>
    </row>
    <row r="1220" spans="5:5" x14ac:dyDescent="0.2">
      <c r="E1220" s="872"/>
    </row>
    <row r="1221" spans="5:5" x14ac:dyDescent="0.2">
      <c r="E1221" s="872"/>
    </row>
    <row r="1222" spans="5:5" x14ac:dyDescent="0.2">
      <c r="E1222" s="872"/>
    </row>
    <row r="1223" spans="5:5" x14ac:dyDescent="0.2">
      <c r="E1223" s="872"/>
    </row>
    <row r="1224" spans="5:5" x14ac:dyDescent="0.2">
      <c r="E1224" s="872"/>
    </row>
    <row r="1225" spans="5:5" x14ac:dyDescent="0.2">
      <c r="E1225" s="872"/>
    </row>
    <row r="1226" spans="5:5" x14ac:dyDescent="0.2">
      <c r="E1226" s="872"/>
    </row>
    <row r="1227" spans="5:5" x14ac:dyDescent="0.2">
      <c r="E1227" s="872"/>
    </row>
    <row r="1228" spans="5:5" x14ac:dyDescent="0.2">
      <c r="E1228" s="872"/>
    </row>
    <row r="1229" spans="5:5" x14ac:dyDescent="0.2">
      <c r="E1229" s="872"/>
    </row>
    <row r="1230" spans="5:5" x14ac:dyDescent="0.2">
      <c r="E1230" s="872"/>
    </row>
    <row r="1231" spans="5:5" x14ac:dyDescent="0.2">
      <c r="E1231" s="872"/>
    </row>
    <row r="1232" spans="5:5" x14ac:dyDescent="0.2">
      <c r="E1232" s="872"/>
    </row>
    <row r="1233" spans="5:5" x14ac:dyDescent="0.2">
      <c r="E1233" s="872"/>
    </row>
    <row r="1234" spans="5:5" x14ac:dyDescent="0.2">
      <c r="E1234" s="872"/>
    </row>
    <row r="1235" spans="5:5" x14ac:dyDescent="0.2">
      <c r="E1235" s="872"/>
    </row>
    <row r="1236" spans="5:5" x14ac:dyDescent="0.2">
      <c r="E1236" s="872"/>
    </row>
    <row r="1237" spans="5:5" x14ac:dyDescent="0.2">
      <c r="E1237" s="872"/>
    </row>
    <row r="1238" spans="5:5" x14ac:dyDescent="0.2">
      <c r="E1238" s="872"/>
    </row>
    <row r="1239" spans="5:5" x14ac:dyDescent="0.2">
      <c r="E1239" s="872"/>
    </row>
    <row r="1240" spans="5:5" x14ac:dyDescent="0.2">
      <c r="E1240" s="872"/>
    </row>
    <row r="1241" spans="5:5" x14ac:dyDescent="0.2">
      <c r="E1241" s="872"/>
    </row>
    <row r="1242" spans="5:5" x14ac:dyDescent="0.2">
      <c r="E1242" s="872"/>
    </row>
    <row r="1243" spans="5:5" x14ac:dyDescent="0.2">
      <c r="E1243" s="872"/>
    </row>
    <row r="1244" spans="5:5" x14ac:dyDescent="0.2">
      <c r="E1244" s="872"/>
    </row>
    <row r="1245" spans="5:5" x14ac:dyDescent="0.2">
      <c r="E1245" s="872"/>
    </row>
    <row r="1246" spans="5:5" x14ac:dyDescent="0.2">
      <c r="E1246" s="872"/>
    </row>
    <row r="1247" spans="5:5" x14ac:dyDescent="0.2">
      <c r="E1247" s="872"/>
    </row>
    <row r="1248" spans="5:5" x14ac:dyDescent="0.2">
      <c r="E1248" s="872"/>
    </row>
    <row r="1249" spans="5:5" x14ac:dyDescent="0.2">
      <c r="E1249" s="872"/>
    </row>
    <row r="1250" spans="5:5" x14ac:dyDescent="0.2">
      <c r="E1250" s="872"/>
    </row>
    <row r="1251" spans="5:5" x14ac:dyDescent="0.2">
      <c r="E1251" s="872"/>
    </row>
    <row r="1252" spans="5:5" x14ac:dyDescent="0.2">
      <c r="E1252" s="872"/>
    </row>
    <row r="1253" spans="5:5" x14ac:dyDescent="0.2">
      <c r="E1253" s="872"/>
    </row>
    <row r="1254" spans="5:5" x14ac:dyDescent="0.2">
      <c r="E1254" s="872"/>
    </row>
    <row r="1255" spans="5:5" x14ac:dyDescent="0.2">
      <c r="E1255" s="872"/>
    </row>
    <row r="1256" spans="5:5" x14ac:dyDescent="0.2">
      <c r="E1256" s="872"/>
    </row>
    <row r="1257" spans="5:5" x14ac:dyDescent="0.2">
      <c r="E1257" s="872"/>
    </row>
    <row r="1258" spans="5:5" x14ac:dyDescent="0.2">
      <c r="E1258" s="872"/>
    </row>
    <row r="1259" spans="5:5" x14ac:dyDescent="0.2">
      <c r="E1259" s="872"/>
    </row>
    <row r="1260" spans="5:5" x14ac:dyDescent="0.2">
      <c r="E1260" s="872"/>
    </row>
    <row r="1261" spans="5:5" x14ac:dyDescent="0.2">
      <c r="E1261" s="872"/>
    </row>
    <row r="1262" spans="5:5" x14ac:dyDescent="0.2">
      <c r="E1262" s="872"/>
    </row>
    <row r="1263" spans="5:5" x14ac:dyDescent="0.2">
      <c r="E1263" s="872"/>
    </row>
    <row r="1264" spans="5:5" x14ac:dyDescent="0.2">
      <c r="E1264" s="872"/>
    </row>
    <row r="1265" spans="5:5" x14ac:dyDescent="0.2">
      <c r="E1265" s="872"/>
    </row>
    <row r="1266" spans="5:5" x14ac:dyDescent="0.2">
      <c r="E1266" s="872"/>
    </row>
    <row r="1267" spans="5:5" x14ac:dyDescent="0.2">
      <c r="E1267" s="872"/>
    </row>
    <row r="1268" spans="5:5" x14ac:dyDescent="0.2">
      <c r="E1268" s="872"/>
    </row>
    <row r="1269" spans="5:5" x14ac:dyDescent="0.2">
      <c r="E1269" s="872"/>
    </row>
    <row r="1270" spans="5:5" x14ac:dyDescent="0.2">
      <c r="E1270" s="872"/>
    </row>
    <row r="1271" spans="5:5" x14ac:dyDescent="0.2">
      <c r="E1271" s="872"/>
    </row>
    <row r="1272" spans="5:5" x14ac:dyDescent="0.2">
      <c r="E1272" s="872"/>
    </row>
    <row r="1273" spans="5:5" x14ac:dyDescent="0.2">
      <c r="E1273" s="872"/>
    </row>
    <row r="1274" spans="5:5" x14ac:dyDescent="0.2">
      <c r="E1274" s="872"/>
    </row>
    <row r="1275" spans="5:5" x14ac:dyDescent="0.2">
      <c r="E1275" s="872"/>
    </row>
    <row r="1276" spans="5:5" x14ac:dyDescent="0.2">
      <c r="E1276" s="872"/>
    </row>
    <row r="1277" spans="5:5" x14ac:dyDescent="0.2">
      <c r="E1277" s="872"/>
    </row>
    <row r="1278" spans="5:5" x14ac:dyDescent="0.2">
      <c r="E1278" s="872"/>
    </row>
    <row r="1279" spans="5:5" x14ac:dyDescent="0.2">
      <c r="E1279" s="872"/>
    </row>
    <row r="1280" spans="5:5" x14ac:dyDescent="0.2">
      <c r="E1280" s="872"/>
    </row>
    <row r="1281" spans="5:5" x14ac:dyDescent="0.2">
      <c r="E1281" s="872"/>
    </row>
    <row r="1282" spans="5:5" x14ac:dyDescent="0.2">
      <c r="E1282" s="872"/>
    </row>
    <row r="1283" spans="5:5" x14ac:dyDescent="0.2">
      <c r="E1283" s="872"/>
    </row>
    <row r="1284" spans="5:5" x14ac:dyDescent="0.2">
      <c r="E1284" s="872"/>
    </row>
    <row r="1285" spans="5:5" x14ac:dyDescent="0.2">
      <c r="E1285" s="872"/>
    </row>
    <row r="1286" spans="5:5" x14ac:dyDescent="0.2">
      <c r="E1286" s="872"/>
    </row>
    <row r="1287" spans="5:5" x14ac:dyDescent="0.2">
      <c r="E1287" s="872"/>
    </row>
    <row r="1288" spans="5:5" x14ac:dyDescent="0.2">
      <c r="E1288" s="872"/>
    </row>
    <row r="1289" spans="5:5" x14ac:dyDescent="0.2">
      <c r="E1289" s="872"/>
    </row>
    <row r="1290" spans="5:5" x14ac:dyDescent="0.2">
      <c r="E1290" s="872"/>
    </row>
    <row r="1291" spans="5:5" x14ac:dyDescent="0.2">
      <c r="E1291" s="872"/>
    </row>
    <row r="1292" spans="5:5" x14ac:dyDescent="0.2">
      <c r="E1292" s="872"/>
    </row>
    <row r="1293" spans="5:5" x14ac:dyDescent="0.2">
      <c r="E1293" s="872"/>
    </row>
    <row r="1294" spans="5:5" x14ac:dyDescent="0.2">
      <c r="E1294" s="872"/>
    </row>
    <row r="1295" spans="5:5" x14ac:dyDescent="0.2">
      <c r="E1295" s="872"/>
    </row>
    <row r="1296" spans="5:5" x14ac:dyDescent="0.2">
      <c r="E1296" s="872"/>
    </row>
    <row r="1297" spans="5:5" x14ac:dyDescent="0.2">
      <c r="E1297" s="872"/>
    </row>
    <row r="1298" spans="5:5" x14ac:dyDescent="0.2">
      <c r="E1298" s="872"/>
    </row>
    <row r="1299" spans="5:5" x14ac:dyDescent="0.2">
      <c r="E1299" s="872"/>
    </row>
    <row r="1300" spans="5:5" x14ac:dyDescent="0.2">
      <c r="E1300" s="872"/>
    </row>
    <row r="1301" spans="5:5" x14ac:dyDescent="0.2">
      <c r="E1301" s="872"/>
    </row>
    <row r="1302" spans="5:5" x14ac:dyDescent="0.2">
      <c r="E1302" s="872"/>
    </row>
    <row r="1303" spans="5:5" x14ac:dyDescent="0.2">
      <c r="E1303" s="872"/>
    </row>
    <row r="1304" spans="5:5" x14ac:dyDescent="0.2">
      <c r="E1304" s="872"/>
    </row>
    <row r="1305" spans="5:5" x14ac:dyDescent="0.2">
      <c r="E1305" s="872"/>
    </row>
    <row r="1306" spans="5:5" x14ac:dyDescent="0.2">
      <c r="E1306" s="872"/>
    </row>
    <row r="1307" spans="5:5" x14ac:dyDescent="0.2">
      <c r="E1307" s="872"/>
    </row>
    <row r="1308" spans="5:5" x14ac:dyDescent="0.2">
      <c r="E1308" s="872"/>
    </row>
    <row r="1309" spans="5:5" x14ac:dyDescent="0.2">
      <c r="E1309" s="872"/>
    </row>
    <row r="1310" spans="5:5" x14ac:dyDescent="0.2">
      <c r="E1310" s="872"/>
    </row>
    <row r="1311" spans="5:5" x14ac:dyDescent="0.2">
      <c r="E1311" s="872"/>
    </row>
    <row r="1312" spans="5:5" x14ac:dyDescent="0.2">
      <c r="E1312" s="872"/>
    </row>
    <row r="1313" spans="5:5" x14ac:dyDescent="0.2">
      <c r="E1313" s="872"/>
    </row>
    <row r="1314" spans="5:5" x14ac:dyDescent="0.2">
      <c r="E1314" s="872"/>
    </row>
    <row r="1315" spans="5:5" x14ac:dyDescent="0.2">
      <c r="E1315" s="872"/>
    </row>
    <row r="1316" spans="5:5" x14ac:dyDescent="0.2">
      <c r="E1316" s="872"/>
    </row>
    <row r="1317" spans="5:5" x14ac:dyDescent="0.2">
      <c r="E1317" s="872"/>
    </row>
    <row r="1318" spans="5:5" x14ac:dyDescent="0.2">
      <c r="E1318" s="872"/>
    </row>
    <row r="1319" spans="5:5" x14ac:dyDescent="0.2">
      <c r="E1319" s="872"/>
    </row>
    <row r="1320" spans="5:5" x14ac:dyDescent="0.2">
      <c r="E1320" s="872"/>
    </row>
    <row r="1321" spans="5:5" x14ac:dyDescent="0.2">
      <c r="E1321" s="872"/>
    </row>
    <row r="1322" spans="5:5" x14ac:dyDescent="0.2">
      <c r="E1322" s="872"/>
    </row>
    <row r="1323" spans="5:5" x14ac:dyDescent="0.2">
      <c r="E1323" s="872"/>
    </row>
    <row r="1324" spans="5:5" x14ac:dyDescent="0.2">
      <c r="E1324" s="872"/>
    </row>
    <row r="1325" spans="5:5" x14ac:dyDescent="0.2">
      <c r="E1325" s="872"/>
    </row>
    <row r="1326" spans="5:5" x14ac:dyDescent="0.2">
      <c r="E1326" s="872"/>
    </row>
    <row r="1327" spans="5:5" x14ac:dyDescent="0.2">
      <c r="E1327" s="872"/>
    </row>
    <row r="1328" spans="5:5" x14ac:dyDescent="0.2">
      <c r="E1328" s="872"/>
    </row>
    <row r="1329" spans="5:5" x14ac:dyDescent="0.2">
      <c r="E1329" s="872"/>
    </row>
    <row r="1330" spans="5:5" x14ac:dyDescent="0.2">
      <c r="E1330" s="872"/>
    </row>
    <row r="1331" spans="5:5" x14ac:dyDescent="0.2">
      <c r="E1331" s="872"/>
    </row>
    <row r="1332" spans="5:5" x14ac:dyDescent="0.2">
      <c r="E1332" s="872"/>
    </row>
    <row r="1333" spans="5:5" x14ac:dyDescent="0.2">
      <c r="E1333" s="872"/>
    </row>
    <row r="1334" spans="5:5" x14ac:dyDescent="0.2">
      <c r="E1334" s="872"/>
    </row>
    <row r="1335" spans="5:5" x14ac:dyDescent="0.2">
      <c r="E1335" s="872"/>
    </row>
    <row r="1336" spans="5:5" x14ac:dyDescent="0.2">
      <c r="E1336" s="872"/>
    </row>
    <row r="1337" spans="5:5" x14ac:dyDescent="0.2">
      <c r="E1337" s="872"/>
    </row>
    <row r="1338" spans="5:5" x14ac:dyDescent="0.2">
      <c r="E1338" s="872"/>
    </row>
    <row r="1339" spans="5:5" x14ac:dyDescent="0.2">
      <c r="E1339" s="872"/>
    </row>
    <row r="1340" spans="5:5" x14ac:dyDescent="0.2">
      <c r="E1340" s="872"/>
    </row>
    <row r="1341" spans="5:5" x14ac:dyDescent="0.2">
      <c r="E1341" s="872"/>
    </row>
    <row r="1342" spans="5:5" x14ac:dyDescent="0.2">
      <c r="E1342" s="872"/>
    </row>
    <row r="1343" spans="5:5" x14ac:dyDescent="0.2">
      <c r="E1343" s="872"/>
    </row>
    <row r="1344" spans="5:5" x14ac:dyDescent="0.2">
      <c r="E1344" s="872"/>
    </row>
    <row r="1345" spans="5:5" x14ac:dyDescent="0.2">
      <c r="E1345" s="872"/>
    </row>
    <row r="1346" spans="5:5" x14ac:dyDescent="0.2">
      <c r="E1346" s="872"/>
    </row>
    <row r="1347" spans="5:5" x14ac:dyDescent="0.2">
      <c r="E1347" s="872"/>
    </row>
    <row r="1348" spans="5:5" x14ac:dyDescent="0.2">
      <c r="E1348" s="872"/>
    </row>
    <row r="1349" spans="5:5" x14ac:dyDescent="0.2">
      <c r="E1349" s="872"/>
    </row>
    <row r="1350" spans="5:5" x14ac:dyDescent="0.2">
      <c r="E1350" s="872"/>
    </row>
    <row r="1351" spans="5:5" x14ac:dyDescent="0.2">
      <c r="E1351" s="872"/>
    </row>
    <row r="1352" spans="5:5" x14ac:dyDescent="0.2">
      <c r="E1352" s="872"/>
    </row>
    <row r="1353" spans="5:5" x14ac:dyDescent="0.2">
      <c r="E1353" s="872"/>
    </row>
    <row r="1354" spans="5:5" x14ac:dyDescent="0.2">
      <c r="E1354" s="872"/>
    </row>
    <row r="1355" spans="5:5" x14ac:dyDescent="0.2">
      <c r="E1355" s="872"/>
    </row>
    <row r="1356" spans="5:5" x14ac:dyDescent="0.2">
      <c r="E1356" s="872"/>
    </row>
    <row r="1357" spans="5:5" x14ac:dyDescent="0.2">
      <c r="E1357" s="872"/>
    </row>
    <row r="1358" spans="5:5" x14ac:dyDescent="0.2">
      <c r="E1358" s="872"/>
    </row>
    <row r="1359" spans="5:5" x14ac:dyDescent="0.2">
      <c r="E1359" s="872"/>
    </row>
    <row r="1360" spans="5:5" x14ac:dyDescent="0.2">
      <c r="E1360" s="872"/>
    </row>
    <row r="1361" spans="5:5" x14ac:dyDescent="0.2">
      <c r="E1361" s="872"/>
    </row>
    <row r="1362" spans="5:5" x14ac:dyDescent="0.2">
      <c r="E1362" s="872"/>
    </row>
    <row r="1363" spans="5:5" x14ac:dyDescent="0.2">
      <c r="E1363" s="872"/>
    </row>
    <row r="1364" spans="5:5" x14ac:dyDescent="0.2">
      <c r="E1364" s="872"/>
    </row>
    <row r="1365" spans="5:5" x14ac:dyDescent="0.2">
      <c r="E1365" s="872"/>
    </row>
    <row r="1366" spans="5:5" x14ac:dyDescent="0.2">
      <c r="E1366" s="872"/>
    </row>
    <row r="1367" spans="5:5" x14ac:dyDescent="0.2">
      <c r="E1367" s="872"/>
    </row>
    <row r="1368" spans="5:5" x14ac:dyDescent="0.2">
      <c r="E1368" s="872"/>
    </row>
    <row r="1369" spans="5:5" x14ac:dyDescent="0.2">
      <c r="E1369" s="872"/>
    </row>
    <row r="1370" spans="5:5" x14ac:dyDescent="0.2">
      <c r="E1370" s="872"/>
    </row>
    <row r="1371" spans="5:5" x14ac:dyDescent="0.2">
      <c r="E1371" s="872"/>
    </row>
    <row r="1372" spans="5:5" x14ac:dyDescent="0.2">
      <c r="E1372" s="872"/>
    </row>
    <row r="1373" spans="5:5" x14ac:dyDescent="0.2">
      <c r="E1373" s="872"/>
    </row>
    <row r="1374" spans="5:5" x14ac:dyDescent="0.2">
      <c r="E1374" s="872"/>
    </row>
    <row r="1375" spans="5:5" x14ac:dyDescent="0.2">
      <c r="E1375" s="872"/>
    </row>
    <row r="1376" spans="5:5" x14ac:dyDescent="0.2">
      <c r="E1376" s="872"/>
    </row>
    <row r="1377" spans="5:5" x14ac:dyDescent="0.2">
      <c r="E1377" s="872"/>
    </row>
    <row r="1378" spans="5:5" x14ac:dyDescent="0.2">
      <c r="E1378" s="872"/>
    </row>
    <row r="1379" spans="5:5" x14ac:dyDescent="0.2">
      <c r="E1379" s="872"/>
    </row>
    <row r="1380" spans="5:5" x14ac:dyDescent="0.2">
      <c r="E1380" s="872"/>
    </row>
    <row r="1381" spans="5:5" x14ac:dyDescent="0.2">
      <c r="E1381" s="872"/>
    </row>
    <row r="1382" spans="5:5" x14ac:dyDescent="0.2">
      <c r="E1382" s="872"/>
    </row>
    <row r="1383" spans="5:5" x14ac:dyDescent="0.2">
      <c r="E1383" s="872"/>
    </row>
    <row r="1384" spans="5:5" x14ac:dyDescent="0.2">
      <c r="E1384" s="872"/>
    </row>
    <row r="1385" spans="5:5" x14ac:dyDescent="0.2">
      <c r="E1385" s="872"/>
    </row>
    <row r="1386" spans="5:5" x14ac:dyDescent="0.2">
      <c r="E1386" s="872"/>
    </row>
    <row r="1387" spans="5:5" x14ac:dyDescent="0.2">
      <c r="E1387" s="872"/>
    </row>
    <row r="1388" spans="5:5" x14ac:dyDescent="0.2">
      <c r="E1388" s="872"/>
    </row>
    <row r="1389" spans="5:5" x14ac:dyDescent="0.2">
      <c r="E1389" s="872"/>
    </row>
    <row r="1390" spans="5:5" x14ac:dyDescent="0.2">
      <c r="E1390" s="872"/>
    </row>
    <row r="1391" spans="5:5" x14ac:dyDescent="0.2">
      <c r="E1391" s="872"/>
    </row>
    <row r="1392" spans="5:5" x14ac:dyDescent="0.2">
      <c r="E1392" s="872"/>
    </row>
    <row r="1393" spans="5:5" x14ac:dyDescent="0.2">
      <c r="E1393" s="872"/>
    </row>
    <row r="1394" spans="5:5" x14ac:dyDescent="0.2">
      <c r="E1394" s="872"/>
    </row>
    <row r="1395" spans="5:5" x14ac:dyDescent="0.2">
      <c r="E1395" s="872"/>
    </row>
    <row r="1396" spans="5:5" x14ac:dyDescent="0.2">
      <c r="E1396" s="872"/>
    </row>
    <row r="1397" spans="5:5" x14ac:dyDescent="0.2">
      <c r="E1397" s="872"/>
    </row>
    <row r="1398" spans="5:5" x14ac:dyDescent="0.2">
      <c r="E1398" s="872"/>
    </row>
    <row r="1399" spans="5:5" x14ac:dyDescent="0.2">
      <c r="E1399" s="872"/>
    </row>
    <row r="1400" spans="5:5" x14ac:dyDescent="0.2">
      <c r="E1400" s="872"/>
    </row>
    <row r="1401" spans="5:5" x14ac:dyDescent="0.2">
      <c r="E1401" s="872"/>
    </row>
    <row r="1402" spans="5:5" x14ac:dyDescent="0.2">
      <c r="E1402" s="872"/>
    </row>
    <row r="1403" spans="5:5" x14ac:dyDescent="0.2">
      <c r="E1403" s="872"/>
    </row>
    <row r="1404" spans="5:5" x14ac:dyDescent="0.2">
      <c r="E1404" s="872"/>
    </row>
    <row r="1405" spans="5:5" x14ac:dyDescent="0.2">
      <c r="E1405" s="872"/>
    </row>
    <row r="1406" spans="5:5" x14ac:dyDescent="0.2">
      <c r="E1406" s="872"/>
    </row>
    <row r="1407" spans="5:5" x14ac:dyDescent="0.2">
      <c r="E1407" s="872"/>
    </row>
    <row r="1408" spans="5:5" x14ac:dyDescent="0.2">
      <c r="E1408" s="872"/>
    </row>
    <row r="1409" spans="5:5" x14ac:dyDescent="0.2">
      <c r="E1409" s="872"/>
    </row>
    <row r="1410" spans="5:5" x14ac:dyDescent="0.2">
      <c r="E1410" s="872"/>
    </row>
    <row r="1411" spans="5:5" x14ac:dyDescent="0.2">
      <c r="E1411" s="872"/>
    </row>
    <row r="1412" spans="5:5" x14ac:dyDescent="0.2">
      <c r="E1412" s="872"/>
    </row>
    <row r="1413" spans="5:5" x14ac:dyDescent="0.2">
      <c r="E1413" s="872"/>
    </row>
    <row r="1414" spans="5:5" x14ac:dyDescent="0.2">
      <c r="E1414" s="872"/>
    </row>
    <row r="1415" spans="5:5" x14ac:dyDescent="0.2">
      <c r="E1415" s="872"/>
    </row>
    <row r="1416" spans="5:5" x14ac:dyDescent="0.2">
      <c r="E1416" s="872"/>
    </row>
    <row r="1417" spans="5:5" x14ac:dyDescent="0.2">
      <c r="E1417" s="872"/>
    </row>
    <row r="1418" spans="5:5" x14ac:dyDescent="0.2">
      <c r="E1418" s="872"/>
    </row>
    <row r="1419" spans="5:5" x14ac:dyDescent="0.2">
      <c r="E1419" s="872"/>
    </row>
    <row r="1420" spans="5:5" x14ac:dyDescent="0.2">
      <c r="E1420" s="872"/>
    </row>
    <row r="1421" spans="5:5" x14ac:dyDescent="0.2">
      <c r="E1421" s="872"/>
    </row>
    <row r="1422" spans="5:5" x14ac:dyDescent="0.2">
      <c r="E1422" s="872"/>
    </row>
    <row r="1423" spans="5:5" x14ac:dyDescent="0.2">
      <c r="E1423" s="872"/>
    </row>
    <row r="1424" spans="5:5" x14ac:dyDescent="0.2">
      <c r="E1424" s="872"/>
    </row>
    <row r="1425" spans="5:5" x14ac:dyDescent="0.2">
      <c r="E1425" s="872"/>
    </row>
    <row r="1426" spans="5:5" x14ac:dyDescent="0.2">
      <c r="E1426" s="872"/>
    </row>
    <row r="1427" spans="5:5" x14ac:dyDescent="0.2">
      <c r="E1427" s="872"/>
    </row>
    <row r="1428" spans="5:5" x14ac:dyDescent="0.2">
      <c r="E1428" s="872"/>
    </row>
    <row r="1429" spans="5:5" x14ac:dyDescent="0.2">
      <c r="E1429" s="872"/>
    </row>
    <row r="1430" spans="5:5" x14ac:dyDescent="0.2">
      <c r="E1430" s="872"/>
    </row>
    <row r="1431" spans="5:5" x14ac:dyDescent="0.2">
      <c r="E1431" s="872"/>
    </row>
    <row r="1432" spans="5:5" x14ac:dyDescent="0.2">
      <c r="E1432" s="872"/>
    </row>
    <row r="1433" spans="5:5" x14ac:dyDescent="0.2">
      <c r="E1433" s="872"/>
    </row>
    <row r="1434" spans="5:5" x14ac:dyDescent="0.2">
      <c r="E1434" s="872"/>
    </row>
    <row r="1435" spans="5:5" x14ac:dyDescent="0.2">
      <c r="E1435" s="872"/>
    </row>
    <row r="1436" spans="5:5" x14ac:dyDescent="0.2">
      <c r="E1436" s="872"/>
    </row>
    <row r="1437" spans="5:5" x14ac:dyDescent="0.2">
      <c r="E1437" s="872"/>
    </row>
    <row r="1438" spans="5:5" x14ac:dyDescent="0.2">
      <c r="E1438" s="872"/>
    </row>
    <row r="1439" spans="5:5" x14ac:dyDescent="0.2">
      <c r="E1439" s="872"/>
    </row>
    <row r="1440" spans="5:5" x14ac:dyDescent="0.2">
      <c r="E1440" s="872"/>
    </row>
    <row r="1441" spans="5:5" x14ac:dyDescent="0.2">
      <c r="E1441" s="872"/>
    </row>
    <row r="1442" spans="5:5" x14ac:dyDescent="0.2">
      <c r="E1442" s="872"/>
    </row>
    <row r="1443" spans="5:5" x14ac:dyDescent="0.2">
      <c r="E1443" s="872"/>
    </row>
    <row r="1444" spans="5:5" x14ac:dyDescent="0.2">
      <c r="E1444" s="872"/>
    </row>
    <row r="1445" spans="5:5" x14ac:dyDescent="0.2">
      <c r="E1445" s="872"/>
    </row>
    <row r="1446" spans="5:5" x14ac:dyDescent="0.2">
      <c r="E1446" s="872"/>
    </row>
    <row r="1447" spans="5:5" x14ac:dyDescent="0.2">
      <c r="E1447" s="872"/>
    </row>
    <row r="1448" spans="5:5" x14ac:dyDescent="0.2">
      <c r="E1448" s="872"/>
    </row>
    <row r="1449" spans="5:5" x14ac:dyDescent="0.2">
      <c r="E1449" s="872"/>
    </row>
    <row r="1450" spans="5:5" x14ac:dyDescent="0.2">
      <c r="E1450" s="872"/>
    </row>
    <row r="1451" spans="5:5" x14ac:dyDescent="0.2">
      <c r="E1451" s="872"/>
    </row>
    <row r="1452" spans="5:5" x14ac:dyDescent="0.2">
      <c r="E1452" s="872"/>
    </row>
    <row r="1453" spans="5:5" x14ac:dyDescent="0.2">
      <c r="E1453" s="872"/>
    </row>
    <row r="1454" spans="5:5" x14ac:dyDescent="0.2">
      <c r="E1454" s="872"/>
    </row>
    <row r="1455" spans="5:5" x14ac:dyDescent="0.2">
      <c r="E1455" s="872"/>
    </row>
    <row r="1456" spans="5:5" x14ac:dyDescent="0.2">
      <c r="E1456" s="872"/>
    </row>
    <row r="1457" spans="5:5" x14ac:dyDescent="0.2">
      <c r="E1457" s="872"/>
    </row>
    <row r="1458" spans="5:5" x14ac:dyDescent="0.2">
      <c r="E1458" s="872"/>
    </row>
    <row r="1459" spans="5:5" x14ac:dyDescent="0.2">
      <c r="E1459" s="872"/>
    </row>
    <row r="1460" spans="5:5" x14ac:dyDescent="0.2">
      <c r="E1460" s="872"/>
    </row>
    <row r="1461" spans="5:5" x14ac:dyDescent="0.2">
      <c r="E1461" s="872"/>
    </row>
    <row r="1462" spans="5:5" x14ac:dyDescent="0.2">
      <c r="E1462" s="872"/>
    </row>
    <row r="1463" spans="5:5" x14ac:dyDescent="0.2">
      <c r="E1463" s="872"/>
    </row>
    <row r="1464" spans="5:5" x14ac:dyDescent="0.2">
      <c r="E1464" s="872"/>
    </row>
    <row r="1465" spans="5:5" x14ac:dyDescent="0.2">
      <c r="E1465" s="872"/>
    </row>
    <row r="1466" spans="5:5" x14ac:dyDescent="0.2">
      <c r="E1466" s="872"/>
    </row>
    <row r="1467" spans="5:5" x14ac:dyDescent="0.2">
      <c r="E1467" s="872"/>
    </row>
    <row r="1468" spans="5:5" x14ac:dyDescent="0.2">
      <c r="E1468" s="872"/>
    </row>
    <row r="1469" spans="5:5" x14ac:dyDescent="0.2">
      <c r="E1469" s="872"/>
    </row>
    <row r="1470" spans="5:5" x14ac:dyDescent="0.2">
      <c r="E1470" s="872"/>
    </row>
    <row r="1471" spans="5:5" x14ac:dyDescent="0.2">
      <c r="E1471" s="872"/>
    </row>
    <row r="1472" spans="5:5" x14ac:dyDescent="0.2">
      <c r="E1472" s="872"/>
    </row>
    <row r="1473" spans="5:5" x14ac:dyDescent="0.2">
      <c r="E1473" s="872"/>
    </row>
    <row r="1474" spans="5:5" x14ac:dyDescent="0.2">
      <c r="E1474" s="872"/>
    </row>
    <row r="1475" spans="5:5" x14ac:dyDescent="0.2">
      <c r="E1475" s="872"/>
    </row>
    <row r="1476" spans="5:5" x14ac:dyDescent="0.2">
      <c r="E1476" s="872"/>
    </row>
    <row r="1477" spans="5:5" x14ac:dyDescent="0.2">
      <c r="E1477" s="872"/>
    </row>
    <row r="1478" spans="5:5" x14ac:dyDescent="0.2">
      <c r="E1478" s="872"/>
    </row>
    <row r="1479" spans="5:5" x14ac:dyDescent="0.2">
      <c r="E1479" s="872"/>
    </row>
    <row r="1480" spans="5:5" x14ac:dyDescent="0.2">
      <c r="E1480" s="872"/>
    </row>
    <row r="1481" spans="5:5" x14ac:dyDescent="0.2">
      <c r="E1481" s="872"/>
    </row>
    <row r="1482" spans="5:5" x14ac:dyDescent="0.2">
      <c r="E1482" s="872"/>
    </row>
    <row r="1483" spans="5:5" x14ac:dyDescent="0.2">
      <c r="E1483" s="872"/>
    </row>
    <row r="1484" spans="5:5" x14ac:dyDescent="0.2">
      <c r="E1484" s="872"/>
    </row>
    <row r="1485" spans="5:5" x14ac:dyDescent="0.2">
      <c r="E1485" s="872"/>
    </row>
    <row r="1486" spans="5:5" x14ac:dyDescent="0.2">
      <c r="E1486" s="872"/>
    </row>
    <row r="1487" spans="5:5" x14ac:dyDescent="0.2">
      <c r="E1487" s="872"/>
    </row>
    <row r="1488" spans="5:5" x14ac:dyDescent="0.2">
      <c r="E1488" s="872"/>
    </row>
    <row r="1489" spans="5:5" x14ac:dyDescent="0.2">
      <c r="E1489" s="872"/>
    </row>
    <row r="1490" spans="5:5" x14ac:dyDescent="0.2">
      <c r="E1490" s="872"/>
    </row>
    <row r="1491" spans="5:5" x14ac:dyDescent="0.2">
      <c r="E1491" s="872"/>
    </row>
    <row r="1492" spans="5:5" x14ac:dyDescent="0.2">
      <c r="E1492" s="872"/>
    </row>
    <row r="1493" spans="5:5" x14ac:dyDescent="0.2">
      <c r="E1493" s="872"/>
    </row>
    <row r="1494" spans="5:5" x14ac:dyDescent="0.2">
      <c r="E1494" s="872"/>
    </row>
    <row r="1495" spans="5:5" x14ac:dyDescent="0.2">
      <c r="E1495" s="872"/>
    </row>
    <row r="1496" spans="5:5" x14ac:dyDescent="0.2">
      <c r="E1496" s="872"/>
    </row>
    <row r="1497" spans="5:5" x14ac:dyDescent="0.2">
      <c r="E1497" s="872"/>
    </row>
    <row r="1498" spans="5:5" x14ac:dyDescent="0.2">
      <c r="E1498" s="872"/>
    </row>
    <row r="1499" spans="5:5" x14ac:dyDescent="0.2">
      <c r="E1499" s="872"/>
    </row>
    <row r="1500" spans="5:5" x14ac:dyDescent="0.2">
      <c r="E1500" s="872"/>
    </row>
    <row r="1501" spans="5:5" x14ac:dyDescent="0.2">
      <c r="E1501" s="872"/>
    </row>
    <row r="1502" spans="5:5" x14ac:dyDescent="0.2">
      <c r="E1502" s="872"/>
    </row>
    <row r="1503" spans="5:5" x14ac:dyDescent="0.2">
      <c r="E1503" s="872"/>
    </row>
    <row r="1504" spans="5:5" x14ac:dyDescent="0.2">
      <c r="E1504" s="872"/>
    </row>
    <row r="1505" spans="5:5" x14ac:dyDescent="0.2">
      <c r="E1505" s="872"/>
    </row>
    <row r="1506" spans="5:5" x14ac:dyDescent="0.2">
      <c r="E1506" s="872"/>
    </row>
    <row r="1507" spans="5:5" x14ac:dyDescent="0.2">
      <c r="E1507" s="872"/>
    </row>
    <row r="1508" spans="5:5" x14ac:dyDescent="0.2">
      <c r="E1508" s="872"/>
    </row>
    <row r="1509" spans="5:5" x14ac:dyDescent="0.2">
      <c r="E1509" s="872"/>
    </row>
    <row r="1510" spans="5:5" x14ac:dyDescent="0.2">
      <c r="E1510" s="872"/>
    </row>
    <row r="1511" spans="5:5" x14ac:dyDescent="0.2">
      <c r="E1511" s="872"/>
    </row>
    <row r="1512" spans="5:5" x14ac:dyDescent="0.2">
      <c r="E1512" s="872"/>
    </row>
    <row r="1513" spans="5:5" x14ac:dyDescent="0.2">
      <c r="E1513" s="872"/>
    </row>
    <row r="1514" spans="5:5" x14ac:dyDescent="0.2">
      <c r="E1514" s="872"/>
    </row>
    <row r="1515" spans="5:5" x14ac:dyDescent="0.2">
      <c r="E1515" s="872"/>
    </row>
    <row r="1516" spans="5:5" x14ac:dyDescent="0.2">
      <c r="E1516" s="872"/>
    </row>
    <row r="1517" spans="5:5" x14ac:dyDescent="0.2">
      <c r="E1517" s="872"/>
    </row>
    <row r="1518" spans="5:5" x14ac:dyDescent="0.2">
      <c r="E1518" s="872"/>
    </row>
    <row r="1519" spans="5:5" x14ac:dyDescent="0.2">
      <c r="E1519" s="872"/>
    </row>
    <row r="1520" spans="5:5" x14ac:dyDescent="0.2">
      <c r="E1520" s="872"/>
    </row>
    <row r="1521" spans="5:5" x14ac:dyDescent="0.2">
      <c r="E1521" s="872"/>
    </row>
    <row r="1522" spans="5:5" x14ac:dyDescent="0.2">
      <c r="E1522" s="872"/>
    </row>
    <row r="1523" spans="5:5" x14ac:dyDescent="0.2">
      <c r="E1523" s="872"/>
    </row>
    <row r="1524" spans="5:5" x14ac:dyDescent="0.2">
      <c r="E1524" s="872"/>
    </row>
    <row r="1525" spans="5:5" x14ac:dyDescent="0.2">
      <c r="E1525" s="872"/>
    </row>
    <row r="1526" spans="5:5" x14ac:dyDescent="0.2">
      <c r="E1526" s="872"/>
    </row>
    <row r="1527" spans="5:5" x14ac:dyDescent="0.2">
      <c r="E1527" s="872"/>
    </row>
    <row r="1528" spans="5:5" x14ac:dyDescent="0.2">
      <c r="E1528" s="872"/>
    </row>
    <row r="1529" spans="5:5" x14ac:dyDescent="0.2">
      <c r="E1529" s="872"/>
    </row>
    <row r="1530" spans="5:5" x14ac:dyDescent="0.2">
      <c r="E1530" s="872"/>
    </row>
    <row r="1531" spans="5:5" x14ac:dyDescent="0.2">
      <c r="E1531" s="872"/>
    </row>
    <row r="1532" spans="5:5" x14ac:dyDescent="0.2">
      <c r="E1532" s="872"/>
    </row>
    <row r="1533" spans="5:5" x14ac:dyDescent="0.2">
      <c r="E1533" s="872"/>
    </row>
    <row r="1534" spans="5:5" x14ac:dyDescent="0.2">
      <c r="E1534" s="872"/>
    </row>
    <row r="1535" spans="5:5" x14ac:dyDescent="0.2">
      <c r="E1535" s="872"/>
    </row>
    <row r="1536" spans="5:5" x14ac:dyDescent="0.2">
      <c r="E1536" s="872"/>
    </row>
    <row r="1537" spans="5:5" x14ac:dyDescent="0.2">
      <c r="E1537" s="872"/>
    </row>
    <row r="1538" spans="5:5" x14ac:dyDescent="0.2">
      <c r="E1538" s="872"/>
    </row>
    <row r="1539" spans="5:5" x14ac:dyDescent="0.2">
      <c r="E1539" s="872"/>
    </row>
    <row r="1540" spans="5:5" x14ac:dyDescent="0.2">
      <c r="E1540" s="872"/>
    </row>
    <row r="1541" spans="5:5" x14ac:dyDescent="0.2">
      <c r="E1541" s="872"/>
    </row>
    <row r="1542" spans="5:5" x14ac:dyDescent="0.2">
      <c r="E1542" s="872"/>
    </row>
    <row r="1543" spans="5:5" x14ac:dyDescent="0.2">
      <c r="E1543" s="872"/>
    </row>
    <row r="1544" spans="5:5" x14ac:dyDescent="0.2">
      <c r="E1544" s="872"/>
    </row>
    <row r="1545" spans="5:5" x14ac:dyDescent="0.2">
      <c r="E1545" s="872"/>
    </row>
    <row r="1546" spans="5:5" x14ac:dyDescent="0.2">
      <c r="E1546" s="872"/>
    </row>
    <row r="1547" spans="5:5" x14ac:dyDescent="0.2">
      <c r="E1547" s="872"/>
    </row>
    <row r="1548" spans="5:5" x14ac:dyDescent="0.2">
      <c r="E1548" s="872"/>
    </row>
    <row r="1549" spans="5:5" x14ac:dyDescent="0.2">
      <c r="E1549" s="872"/>
    </row>
    <row r="1550" spans="5:5" x14ac:dyDescent="0.2">
      <c r="E1550" s="872"/>
    </row>
    <row r="1551" spans="5:5" x14ac:dyDescent="0.2">
      <c r="E1551" s="872"/>
    </row>
    <row r="1552" spans="5:5" x14ac:dyDescent="0.2">
      <c r="E1552" s="872"/>
    </row>
    <row r="1553" spans="5:5" x14ac:dyDescent="0.2">
      <c r="E1553" s="872"/>
    </row>
    <row r="1554" spans="5:5" x14ac:dyDescent="0.2">
      <c r="E1554" s="872"/>
    </row>
    <row r="1555" spans="5:5" x14ac:dyDescent="0.2">
      <c r="E1555" s="872"/>
    </row>
    <row r="1556" spans="5:5" x14ac:dyDescent="0.2">
      <c r="E1556" s="872"/>
    </row>
    <row r="1557" spans="5:5" x14ac:dyDescent="0.2">
      <c r="E1557" s="872"/>
    </row>
    <row r="1558" spans="5:5" x14ac:dyDescent="0.2">
      <c r="E1558" s="872"/>
    </row>
    <row r="1559" spans="5:5" x14ac:dyDescent="0.2">
      <c r="E1559" s="872"/>
    </row>
    <row r="1560" spans="5:5" x14ac:dyDescent="0.2">
      <c r="E1560" s="872"/>
    </row>
    <row r="1561" spans="5:5" x14ac:dyDescent="0.2">
      <c r="E1561" s="872"/>
    </row>
    <row r="1562" spans="5:5" x14ac:dyDescent="0.2">
      <c r="E1562" s="872"/>
    </row>
    <row r="1563" spans="5:5" x14ac:dyDescent="0.2">
      <c r="E1563" s="872"/>
    </row>
    <row r="1564" spans="5:5" x14ac:dyDescent="0.2">
      <c r="E1564" s="872"/>
    </row>
    <row r="1565" spans="5:5" x14ac:dyDescent="0.2">
      <c r="E1565" s="872"/>
    </row>
    <row r="1566" spans="5:5" x14ac:dyDescent="0.2">
      <c r="E1566" s="872"/>
    </row>
    <row r="1567" spans="5:5" x14ac:dyDescent="0.2">
      <c r="E1567" s="872"/>
    </row>
    <row r="1568" spans="5:5" x14ac:dyDescent="0.2">
      <c r="E1568" s="872"/>
    </row>
    <row r="1569" spans="5:5" x14ac:dyDescent="0.2">
      <c r="E1569" s="872"/>
    </row>
    <row r="1570" spans="5:5" x14ac:dyDescent="0.2">
      <c r="E1570" s="872"/>
    </row>
    <row r="1571" spans="5:5" x14ac:dyDescent="0.2">
      <c r="E1571" s="872"/>
    </row>
    <row r="1572" spans="5:5" x14ac:dyDescent="0.2">
      <c r="E1572" s="872"/>
    </row>
    <row r="1573" spans="5:5" x14ac:dyDescent="0.2">
      <c r="E1573" s="872"/>
    </row>
    <row r="1574" spans="5:5" x14ac:dyDescent="0.2">
      <c r="E1574" s="872"/>
    </row>
    <row r="1575" spans="5:5" x14ac:dyDescent="0.2">
      <c r="E1575" s="872"/>
    </row>
    <row r="1576" spans="5:5" x14ac:dyDescent="0.2">
      <c r="E1576" s="872"/>
    </row>
    <row r="1577" spans="5:5" x14ac:dyDescent="0.2">
      <c r="E1577" s="872"/>
    </row>
    <row r="1578" spans="5:5" x14ac:dyDescent="0.2">
      <c r="E1578" s="872"/>
    </row>
    <row r="1579" spans="5:5" x14ac:dyDescent="0.2">
      <c r="E1579" s="872"/>
    </row>
    <row r="1580" spans="5:5" x14ac:dyDescent="0.2">
      <c r="E1580" s="872"/>
    </row>
    <row r="1581" spans="5:5" x14ac:dyDescent="0.2">
      <c r="E1581" s="872"/>
    </row>
    <row r="1582" spans="5:5" x14ac:dyDescent="0.2">
      <c r="E1582" s="872"/>
    </row>
    <row r="1583" spans="5:5" x14ac:dyDescent="0.2">
      <c r="E1583" s="872"/>
    </row>
    <row r="1584" spans="5:5" x14ac:dyDescent="0.2">
      <c r="E1584" s="872"/>
    </row>
    <row r="1585" spans="5:5" x14ac:dyDescent="0.2">
      <c r="E1585" s="872"/>
    </row>
    <row r="1586" spans="5:5" x14ac:dyDescent="0.2">
      <c r="E1586" s="872"/>
    </row>
    <row r="1587" spans="5:5" x14ac:dyDescent="0.2">
      <c r="E1587" s="872"/>
    </row>
    <row r="1588" spans="5:5" x14ac:dyDescent="0.2">
      <c r="E1588" s="872"/>
    </row>
    <row r="1589" spans="5:5" x14ac:dyDescent="0.2">
      <c r="E1589" s="872"/>
    </row>
    <row r="1590" spans="5:5" x14ac:dyDescent="0.2">
      <c r="E1590" s="872"/>
    </row>
    <row r="1591" spans="5:5" x14ac:dyDescent="0.2">
      <c r="E1591" s="872"/>
    </row>
    <row r="1592" spans="5:5" x14ac:dyDescent="0.2">
      <c r="E1592" s="872"/>
    </row>
    <row r="1593" spans="5:5" x14ac:dyDescent="0.2">
      <c r="E1593" s="872"/>
    </row>
    <row r="1594" spans="5:5" x14ac:dyDescent="0.2">
      <c r="E1594" s="872"/>
    </row>
    <row r="1595" spans="5:5" x14ac:dyDescent="0.2">
      <c r="E1595" s="872"/>
    </row>
    <row r="1596" spans="5:5" x14ac:dyDescent="0.2">
      <c r="E1596" s="872"/>
    </row>
    <row r="1597" spans="5:5" x14ac:dyDescent="0.2">
      <c r="E1597" s="872"/>
    </row>
    <row r="1598" spans="5:5" x14ac:dyDescent="0.2">
      <c r="E1598" s="872"/>
    </row>
    <row r="1599" spans="5:5" x14ac:dyDescent="0.2">
      <c r="E1599" s="872"/>
    </row>
    <row r="1600" spans="5:5" x14ac:dyDescent="0.2">
      <c r="E1600" s="872"/>
    </row>
    <row r="1601" spans="5:5" x14ac:dyDescent="0.2">
      <c r="E1601" s="872"/>
    </row>
    <row r="1602" spans="5:5" x14ac:dyDescent="0.2">
      <c r="E1602" s="872"/>
    </row>
    <row r="1603" spans="5:5" x14ac:dyDescent="0.2">
      <c r="E1603" s="872"/>
    </row>
    <row r="1604" spans="5:5" x14ac:dyDescent="0.2">
      <c r="E1604" s="872"/>
    </row>
    <row r="1605" spans="5:5" x14ac:dyDescent="0.2">
      <c r="E1605" s="872"/>
    </row>
    <row r="1606" spans="5:5" x14ac:dyDescent="0.2">
      <c r="E1606" s="872"/>
    </row>
    <row r="1607" spans="5:5" x14ac:dyDescent="0.2">
      <c r="E1607" s="872"/>
    </row>
    <row r="1608" spans="5:5" x14ac:dyDescent="0.2">
      <c r="E1608" s="872"/>
    </row>
    <row r="1609" spans="5:5" x14ac:dyDescent="0.2">
      <c r="E1609" s="872"/>
    </row>
    <row r="1610" spans="5:5" x14ac:dyDescent="0.2">
      <c r="E1610" s="872"/>
    </row>
    <row r="1611" spans="5:5" x14ac:dyDescent="0.2">
      <c r="E1611" s="872"/>
    </row>
    <row r="1612" spans="5:5" x14ac:dyDescent="0.2">
      <c r="E1612" s="872"/>
    </row>
    <row r="1613" spans="5:5" x14ac:dyDescent="0.2">
      <c r="E1613" s="872"/>
    </row>
    <row r="1614" spans="5:5" x14ac:dyDescent="0.2">
      <c r="E1614" s="872"/>
    </row>
    <row r="1615" spans="5:5" x14ac:dyDescent="0.2">
      <c r="E1615" s="872"/>
    </row>
    <row r="1616" spans="5:5" x14ac:dyDescent="0.2">
      <c r="E1616" s="872"/>
    </row>
    <row r="1617" spans="5:5" x14ac:dyDescent="0.2">
      <c r="E1617" s="872"/>
    </row>
    <row r="1618" spans="5:5" x14ac:dyDescent="0.2">
      <c r="E1618" s="872"/>
    </row>
    <row r="1619" spans="5:5" x14ac:dyDescent="0.2">
      <c r="E1619" s="872"/>
    </row>
    <row r="1620" spans="5:5" x14ac:dyDescent="0.2">
      <c r="E1620" s="872"/>
    </row>
    <row r="1621" spans="5:5" x14ac:dyDescent="0.2">
      <c r="E1621" s="872"/>
    </row>
    <row r="1622" spans="5:5" x14ac:dyDescent="0.2">
      <c r="E1622" s="872"/>
    </row>
    <row r="1623" spans="5:5" x14ac:dyDescent="0.2">
      <c r="E1623" s="872"/>
    </row>
    <row r="1624" spans="5:5" x14ac:dyDescent="0.2">
      <c r="E1624" s="872"/>
    </row>
    <row r="1625" spans="5:5" x14ac:dyDescent="0.2">
      <c r="E1625" s="872"/>
    </row>
    <row r="1626" spans="5:5" x14ac:dyDescent="0.2">
      <c r="E1626" s="872"/>
    </row>
    <row r="1627" spans="5:5" x14ac:dyDescent="0.2">
      <c r="E1627" s="872"/>
    </row>
    <row r="1628" spans="5:5" x14ac:dyDescent="0.2">
      <c r="E1628" s="872"/>
    </row>
    <row r="1629" spans="5:5" x14ac:dyDescent="0.2">
      <c r="E1629" s="872"/>
    </row>
    <row r="1630" spans="5:5" x14ac:dyDescent="0.2">
      <c r="E1630" s="872"/>
    </row>
    <row r="1631" spans="5:5" x14ac:dyDescent="0.2">
      <c r="E1631" s="872"/>
    </row>
    <row r="1632" spans="5:5" x14ac:dyDescent="0.2">
      <c r="E1632" s="872"/>
    </row>
    <row r="1633" spans="5:5" x14ac:dyDescent="0.2">
      <c r="E1633" s="872"/>
    </row>
    <row r="1634" spans="5:5" x14ac:dyDescent="0.2">
      <c r="E1634" s="872"/>
    </row>
    <row r="1635" spans="5:5" x14ac:dyDescent="0.2">
      <c r="E1635" s="872"/>
    </row>
    <row r="1636" spans="5:5" x14ac:dyDescent="0.2">
      <c r="E1636" s="872"/>
    </row>
    <row r="1637" spans="5:5" x14ac:dyDescent="0.2">
      <c r="E1637" s="872"/>
    </row>
    <row r="1638" spans="5:5" x14ac:dyDescent="0.2">
      <c r="E1638" s="872"/>
    </row>
    <row r="1639" spans="5:5" x14ac:dyDescent="0.2">
      <c r="E1639" s="872"/>
    </row>
    <row r="1640" spans="5:5" x14ac:dyDescent="0.2">
      <c r="E1640" s="872"/>
    </row>
    <row r="1641" spans="5:5" x14ac:dyDescent="0.2">
      <c r="E1641" s="872"/>
    </row>
    <row r="1642" spans="5:5" x14ac:dyDescent="0.2">
      <c r="E1642" s="872"/>
    </row>
    <row r="1643" spans="5:5" x14ac:dyDescent="0.2">
      <c r="E1643" s="872"/>
    </row>
    <row r="1644" spans="5:5" x14ac:dyDescent="0.2">
      <c r="E1644" s="872"/>
    </row>
    <row r="1645" spans="5:5" x14ac:dyDescent="0.2">
      <c r="E1645" s="872"/>
    </row>
    <row r="1646" spans="5:5" x14ac:dyDescent="0.2">
      <c r="E1646" s="872"/>
    </row>
    <row r="1647" spans="5:5" x14ac:dyDescent="0.2">
      <c r="E1647" s="872"/>
    </row>
    <row r="1648" spans="5:5" x14ac:dyDescent="0.2">
      <c r="E1648" s="872"/>
    </row>
    <row r="1649" spans="5:5" x14ac:dyDescent="0.2">
      <c r="E1649" s="872"/>
    </row>
    <row r="1650" spans="5:5" x14ac:dyDescent="0.2">
      <c r="E1650" s="872"/>
    </row>
    <row r="1651" spans="5:5" x14ac:dyDescent="0.2">
      <c r="E1651" s="872"/>
    </row>
    <row r="1652" spans="5:5" x14ac:dyDescent="0.2">
      <c r="E1652" s="872"/>
    </row>
    <row r="1653" spans="5:5" x14ac:dyDescent="0.2">
      <c r="E1653" s="872"/>
    </row>
    <row r="1654" spans="5:5" x14ac:dyDescent="0.2">
      <c r="E1654" s="872"/>
    </row>
    <row r="1655" spans="5:5" x14ac:dyDescent="0.2">
      <c r="E1655" s="872"/>
    </row>
    <row r="1656" spans="5:5" x14ac:dyDescent="0.2">
      <c r="E1656" s="872"/>
    </row>
    <row r="1657" spans="5:5" x14ac:dyDescent="0.2">
      <c r="E1657" s="872"/>
    </row>
    <row r="1658" spans="5:5" x14ac:dyDescent="0.2">
      <c r="E1658" s="872"/>
    </row>
    <row r="1659" spans="5:5" x14ac:dyDescent="0.2">
      <c r="E1659" s="872"/>
    </row>
    <row r="1660" spans="5:5" x14ac:dyDescent="0.2">
      <c r="E1660" s="872"/>
    </row>
    <row r="1661" spans="5:5" x14ac:dyDescent="0.2">
      <c r="E1661" s="872"/>
    </row>
    <row r="1662" spans="5:5" x14ac:dyDescent="0.2">
      <c r="E1662" s="872"/>
    </row>
    <row r="1663" spans="5:5" x14ac:dyDescent="0.2">
      <c r="E1663" s="872"/>
    </row>
    <row r="1664" spans="5:5" x14ac:dyDescent="0.2">
      <c r="E1664" s="872"/>
    </row>
    <row r="1665" spans="5:5" x14ac:dyDescent="0.2">
      <c r="E1665" s="872"/>
    </row>
    <row r="1666" spans="5:5" x14ac:dyDescent="0.2">
      <c r="E1666" s="872"/>
    </row>
    <row r="1667" spans="5:5" x14ac:dyDescent="0.2">
      <c r="E1667" s="872"/>
    </row>
    <row r="1668" spans="5:5" x14ac:dyDescent="0.2">
      <c r="E1668" s="872"/>
    </row>
    <row r="1669" spans="5:5" x14ac:dyDescent="0.2">
      <c r="E1669" s="872"/>
    </row>
    <row r="1670" spans="5:5" x14ac:dyDescent="0.2">
      <c r="E1670" s="872"/>
    </row>
    <row r="1671" spans="5:5" x14ac:dyDescent="0.2">
      <c r="E1671" s="872"/>
    </row>
    <row r="1672" spans="5:5" x14ac:dyDescent="0.2">
      <c r="E1672" s="872"/>
    </row>
    <row r="1673" spans="5:5" x14ac:dyDescent="0.2">
      <c r="E1673" s="872"/>
    </row>
    <row r="1674" spans="5:5" x14ac:dyDescent="0.2">
      <c r="E1674" s="872"/>
    </row>
    <row r="1675" spans="5:5" x14ac:dyDescent="0.2">
      <c r="E1675" s="872"/>
    </row>
    <row r="1676" spans="5:5" x14ac:dyDescent="0.2">
      <c r="E1676" s="872"/>
    </row>
    <row r="1677" spans="5:5" x14ac:dyDescent="0.2">
      <c r="E1677" s="872"/>
    </row>
    <row r="1678" spans="5:5" x14ac:dyDescent="0.2">
      <c r="E1678" s="872"/>
    </row>
    <row r="1679" spans="5:5" x14ac:dyDescent="0.2">
      <c r="E1679" s="872"/>
    </row>
    <row r="1680" spans="5:5" x14ac:dyDescent="0.2">
      <c r="E1680" s="872"/>
    </row>
    <row r="1681" spans="5:5" x14ac:dyDescent="0.2">
      <c r="E1681" s="872"/>
    </row>
    <row r="1682" spans="5:5" x14ac:dyDescent="0.2">
      <c r="E1682" s="872"/>
    </row>
    <row r="1683" spans="5:5" x14ac:dyDescent="0.2">
      <c r="E1683" s="872"/>
    </row>
    <row r="1684" spans="5:5" x14ac:dyDescent="0.2">
      <c r="E1684" s="872"/>
    </row>
    <row r="1685" spans="5:5" x14ac:dyDescent="0.2">
      <c r="E1685" s="872"/>
    </row>
    <row r="1686" spans="5:5" x14ac:dyDescent="0.2">
      <c r="E1686" s="872"/>
    </row>
    <row r="1687" spans="5:5" x14ac:dyDescent="0.2">
      <c r="E1687" s="872"/>
    </row>
    <row r="1688" spans="5:5" x14ac:dyDescent="0.2">
      <c r="E1688" s="872"/>
    </row>
    <row r="1689" spans="5:5" x14ac:dyDescent="0.2">
      <c r="E1689" s="872"/>
    </row>
    <row r="1690" spans="5:5" x14ac:dyDescent="0.2">
      <c r="E1690" s="872"/>
    </row>
    <row r="1691" spans="5:5" x14ac:dyDescent="0.2">
      <c r="E1691" s="872"/>
    </row>
    <row r="1692" spans="5:5" x14ac:dyDescent="0.2">
      <c r="E1692" s="872"/>
    </row>
    <row r="1693" spans="5:5" x14ac:dyDescent="0.2">
      <c r="E1693" s="872"/>
    </row>
    <row r="1694" spans="5:5" x14ac:dyDescent="0.2">
      <c r="E1694" s="872"/>
    </row>
    <row r="1695" spans="5:5" x14ac:dyDescent="0.2">
      <c r="E1695" s="872"/>
    </row>
    <row r="1696" spans="5:5" x14ac:dyDescent="0.2">
      <c r="E1696" s="872"/>
    </row>
    <row r="1697" spans="5:5" x14ac:dyDescent="0.2">
      <c r="E1697" s="872"/>
    </row>
    <row r="1698" spans="5:5" x14ac:dyDescent="0.2">
      <c r="E1698" s="872"/>
    </row>
    <row r="1699" spans="5:5" x14ac:dyDescent="0.2">
      <c r="E1699" s="872"/>
    </row>
    <row r="1700" spans="5:5" x14ac:dyDescent="0.2">
      <c r="E1700" s="872"/>
    </row>
    <row r="1701" spans="5:5" x14ac:dyDescent="0.2">
      <c r="E1701" s="872"/>
    </row>
    <row r="1702" spans="5:5" x14ac:dyDescent="0.2">
      <c r="E1702" s="872"/>
    </row>
    <row r="1703" spans="5:5" x14ac:dyDescent="0.2">
      <c r="E1703" s="872"/>
    </row>
    <row r="1704" spans="5:5" x14ac:dyDescent="0.2">
      <c r="E1704" s="872"/>
    </row>
    <row r="1705" spans="5:5" x14ac:dyDescent="0.2">
      <c r="E1705" s="872"/>
    </row>
    <row r="1706" spans="5:5" x14ac:dyDescent="0.2">
      <c r="E1706" s="872"/>
    </row>
    <row r="1707" spans="5:5" x14ac:dyDescent="0.2">
      <c r="E1707" s="872"/>
    </row>
    <row r="1708" spans="5:5" x14ac:dyDescent="0.2">
      <c r="E1708" s="872"/>
    </row>
    <row r="1709" spans="5:5" x14ac:dyDescent="0.2">
      <c r="E1709" s="872"/>
    </row>
    <row r="1710" spans="5:5" x14ac:dyDescent="0.2">
      <c r="E1710" s="872"/>
    </row>
    <row r="1711" spans="5:5" x14ac:dyDescent="0.2">
      <c r="E1711" s="872"/>
    </row>
    <row r="1712" spans="5:5" x14ac:dyDescent="0.2">
      <c r="E1712" s="872"/>
    </row>
    <row r="1713" spans="5:5" x14ac:dyDescent="0.2">
      <c r="E1713" s="872"/>
    </row>
    <row r="1714" spans="5:5" x14ac:dyDescent="0.2">
      <c r="E1714" s="872"/>
    </row>
    <row r="1715" spans="5:5" x14ac:dyDescent="0.2">
      <c r="E1715" s="872"/>
    </row>
    <row r="1716" spans="5:5" x14ac:dyDescent="0.2">
      <c r="E1716" s="872"/>
    </row>
    <row r="1717" spans="5:5" x14ac:dyDescent="0.2">
      <c r="E1717" s="872"/>
    </row>
    <row r="1718" spans="5:5" x14ac:dyDescent="0.2">
      <c r="E1718" s="872"/>
    </row>
    <row r="1719" spans="5:5" x14ac:dyDescent="0.2">
      <c r="E1719" s="872"/>
    </row>
    <row r="1720" spans="5:5" x14ac:dyDescent="0.2">
      <c r="E1720" s="872"/>
    </row>
    <row r="1721" spans="5:5" x14ac:dyDescent="0.2">
      <c r="E1721" s="872"/>
    </row>
    <row r="1722" spans="5:5" x14ac:dyDescent="0.2">
      <c r="E1722" s="872"/>
    </row>
    <row r="1723" spans="5:5" x14ac:dyDescent="0.2">
      <c r="E1723" s="872"/>
    </row>
    <row r="1724" spans="5:5" x14ac:dyDescent="0.2">
      <c r="E1724" s="872"/>
    </row>
    <row r="1725" spans="5:5" x14ac:dyDescent="0.2">
      <c r="E1725" s="872"/>
    </row>
    <row r="1726" spans="5:5" x14ac:dyDescent="0.2">
      <c r="E1726" s="872"/>
    </row>
    <row r="1727" spans="5:5" x14ac:dyDescent="0.2">
      <c r="E1727" s="872"/>
    </row>
    <row r="1728" spans="5:5" x14ac:dyDescent="0.2">
      <c r="E1728" s="872"/>
    </row>
    <row r="1729" spans="5:5" x14ac:dyDescent="0.2">
      <c r="E1729" s="872"/>
    </row>
    <row r="1730" spans="5:5" x14ac:dyDescent="0.2">
      <c r="E1730" s="872"/>
    </row>
    <row r="1731" spans="5:5" x14ac:dyDescent="0.2">
      <c r="E1731" s="872"/>
    </row>
    <row r="1732" spans="5:5" x14ac:dyDescent="0.2">
      <c r="E1732" s="872"/>
    </row>
    <row r="1733" spans="5:5" x14ac:dyDescent="0.2">
      <c r="E1733" s="872"/>
    </row>
    <row r="1734" spans="5:5" x14ac:dyDescent="0.2">
      <c r="E1734" s="872"/>
    </row>
    <row r="1735" spans="5:5" x14ac:dyDescent="0.2">
      <c r="E1735" s="872"/>
    </row>
    <row r="1736" spans="5:5" x14ac:dyDescent="0.2">
      <c r="E1736" s="872"/>
    </row>
    <row r="1737" spans="5:5" x14ac:dyDescent="0.2">
      <c r="E1737" s="872"/>
    </row>
    <row r="1738" spans="5:5" x14ac:dyDescent="0.2">
      <c r="E1738" s="872"/>
    </row>
    <row r="1739" spans="5:5" x14ac:dyDescent="0.2">
      <c r="E1739" s="872"/>
    </row>
    <row r="1740" spans="5:5" x14ac:dyDescent="0.2">
      <c r="E1740" s="872"/>
    </row>
    <row r="1741" spans="5:5" x14ac:dyDescent="0.2">
      <c r="E1741" s="872"/>
    </row>
    <row r="1742" spans="5:5" x14ac:dyDescent="0.2">
      <c r="E1742" s="872"/>
    </row>
    <row r="1743" spans="5:5" x14ac:dyDescent="0.2">
      <c r="E1743" s="872"/>
    </row>
    <row r="1744" spans="5:5" x14ac:dyDescent="0.2">
      <c r="E1744" s="872"/>
    </row>
    <row r="1745" spans="5:5" x14ac:dyDescent="0.2">
      <c r="E1745" s="872"/>
    </row>
    <row r="1746" spans="5:5" x14ac:dyDescent="0.2">
      <c r="E1746" s="872"/>
    </row>
    <row r="1747" spans="5:5" x14ac:dyDescent="0.2">
      <c r="E1747" s="872"/>
    </row>
    <row r="1748" spans="5:5" x14ac:dyDescent="0.2">
      <c r="E1748" s="872"/>
    </row>
    <row r="1749" spans="5:5" x14ac:dyDescent="0.2">
      <c r="E1749" s="872"/>
    </row>
    <row r="1750" spans="5:5" x14ac:dyDescent="0.2">
      <c r="E1750" s="872"/>
    </row>
    <row r="1751" spans="5:5" x14ac:dyDescent="0.2">
      <c r="E1751" s="872"/>
    </row>
    <row r="1752" spans="5:5" x14ac:dyDescent="0.2">
      <c r="E1752" s="872"/>
    </row>
    <row r="1753" spans="5:5" x14ac:dyDescent="0.2">
      <c r="E1753" s="872"/>
    </row>
    <row r="1754" spans="5:5" x14ac:dyDescent="0.2">
      <c r="E1754" s="872"/>
    </row>
    <row r="1755" spans="5:5" x14ac:dyDescent="0.2">
      <c r="E1755" s="872"/>
    </row>
    <row r="1756" spans="5:5" x14ac:dyDescent="0.2">
      <c r="E1756" s="872"/>
    </row>
    <row r="1757" spans="5:5" x14ac:dyDescent="0.2">
      <c r="E1757" s="872"/>
    </row>
    <row r="1758" spans="5:5" x14ac:dyDescent="0.2">
      <c r="E1758" s="872"/>
    </row>
    <row r="1759" spans="5:5" x14ac:dyDescent="0.2">
      <c r="E1759" s="872"/>
    </row>
    <row r="1760" spans="5:5" x14ac:dyDescent="0.2">
      <c r="E1760" s="872"/>
    </row>
    <row r="1761" spans="5:5" x14ac:dyDescent="0.2">
      <c r="E1761" s="872"/>
    </row>
    <row r="1762" spans="5:5" x14ac:dyDescent="0.2">
      <c r="E1762" s="872"/>
    </row>
    <row r="1763" spans="5:5" x14ac:dyDescent="0.2">
      <c r="E1763" s="872"/>
    </row>
    <row r="1764" spans="5:5" x14ac:dyDescent="0.2">
      <c r="E1764" s="872"/>
    </row>
    <row r="1765" spans="5:5" x14ac:dyDescent="0.2">
      <c r="E1765" s="872"/>
    </row>
    <row r="1766" spans="5:5" x14ac:dyDescent="0.2">
      <c r="E1766" s="872"/>
    </row>
    <row r="1767" spans="5:5" x14ac:dyDescent="0.2">
      <c r="E1767" s="872"/>
    </row>
    <row r="1768" spans="5:5" x14ac:dyDescent="0.2">
      <c r="E1768" s="872"/>
    </row>
    <row r="1769" spans="5:5" x14ac:dyDescent="0.2">
      <c r="E1769" s="872"/>
    </row>
    <row r="1770" spans="5:5" x14ac:dyDescent="0.2">
      <c r="E1770" s="872"/>
    </row>
    <row r="1771" spans="5:5" x14ac:dyDescent="0.2">
      <c r="E1771" s="872"/>
    </row>
    <row r="1772" spans="5:5" x14ac:dyDescent="0.2">
      <c r="E1772" s="872"/>
    </row>
    <row r="1773" spans="5:5" x14ac:dyDescent="0.2">
      <c r="E1773" s="872"/>
    </row>
    <row r="1774" spans="5:5" x14ac:dyDescent="0.2">
      <c r="E1774" s="872"/>
    </row>
    <row r="1775" spans="5:5" x14ac:dyDescent="0.2">
      <c r="E1775" s="872"/>
    </row>
    <row r="1776" spans="5:5" x14ac:dyDescent="0.2">
      <c r="E1776" s="872"/>
    </row>
    <row r="1777" spans="5:5" x14ac:dyDescent="0.2">
      <c r="E1777" s="872"/>
    </row>
    <row r="1778" spans="5:5" x14ac:dyDescent="0.2">
      <c r="E1778" s="872"/>
    </row>
    <row r="1779" spans="5:5" x14ac:dyDescent="0.2">
      <c r="E1779" s="872"/>
    </row>
    <row r="1780" spans="5:5" x14ac:dyDescent="0.2">
      <c r="E1780" s="872"/>
    </row>
    <row r="1781" spans="5:5" x14ac:dyDescent="0.2">
      <c r="E1781" s="872"/>
    </row>
    <row r="1782" spans="5:5" x14ac:dyDescent="0.2">
      <c r="E1782" s="872"/>
    </row>
    <row r="1783" spans="5:5" x14ac:dyDescent="0.2">
      <c r="E1783" s="872"/>
    </row>
    <row r="1784" spans="5:5" x14ac:dyDescent="0.2">
      <c r="E1784" s="872"/>
    </row>
    <row r="1785" spans="5:5" x14ac:dyDescent="0.2">
      <c r="E1785" s="872"/>
    </row>
    <row r="1786" spans="5:5" x14ac:dyDescent="0.2">
      <c r="E1786" s="872"/>
    </row>
    <row r="1787" spans="5:5" x14ac:dyDescent="0.2">
      <c r="E1787" s="872"/>
    </row>
    <row r="1788" spans="5:5" x14ac:dyDescent="0.2">
      <c r="E1788" s="872"/>
    </row>
    <row r="1789" spans="5:5" x14ac:dyDescent="0.2">
      <c r="E1789" s="872"/>
    </row>
    <row r="1790" spans="5:5" x14ac:dyDescent="0.2">
      <c r="E1790" s="872"/>
    </row>
    <row r="1791" spans="5:5" x14ac:dyDescent="0.2">
      <c r="E1791" s="872"/>
    </row>
    <row r="1792" spans="5:5" x14ac:dyDescent="0.2">
      <c r="E1792" s="872"/>
    </row>
    <row r="1793" spans="5:5" x14ac:dyDescent="0.2">
      <c r="E1793" s="872"/>
    </row>
    <row r="1794" spans="5:5" x14ac:dyDescent="0.2">
      <c r="E1794" s="872"/>
    </row>
    <row r="1795" spans="5:5" x14ac:dyDescent="0.2">
      <c r="E1795" s="872"/>
    </row>
    <row r="1796" spans="5:5" x14ac:dyDescent="0.2">
      <c r="E1796" s="872"/>
    </row>
    <row r="1797" spans="5:5" x14ac:dyDescent="0.2">
      <c r="E1797" s="872"/>
    </row>
    <row r="1798" spans="5:5" x14ac:dyDescent="0.2">
      <c r="E1798" s="872"/>
    </row>
    <row r="1799" spans="5:5" x14ac:dyDescent="0.2">
      <c r="E1799" s="872"/>
    </row>
    <row r="1800" spans="5:5" x14ac:dyDescent="0.2">
      <c r="E1800" s="872"/>
    </row>
    <row r="1801" spans="5:5" x14ac:dyDescent="0.2">
      <c r="E1801" s="872"/>
    </row>
    <row r="1802" spans="5:5" x14ac:dyDescent="0.2">
      <c r="E1802" s="872"/>
    </row>
    <row r="1803" spans="5:5" x14ac:dyDescent="0.2">
      <c r="E1803" s="872"/>
    </row>
    <row r="1804" spans="5:5" x14ac:dyDescent="0.2">
      <c r="E1804" s="872"/>
    </row>
    <row r="1805" spans="5:5" x14ac:dyDescent="0.2">
      <c r="E1805" s="872"/>
    </row>
    <row r="1806" spans="5:5" x14ac:dyDescent="0.2">
      <c r="E1806" s="872"/>
    </row>
    <row r="1807" spans="5:5" x14ac:dyDescent="0.2">
      <c r="E1807" s="872"/>
    </row>
    <row r="1808" spans="5:5" x14ac:dyDescent="0.2">
      <c r="E1808" s="872"/>
    </row>
    <row r="1809" spans="5:5" x14ac:dyDescent="0.2">
      <c r="E1809" s="872"/>
    </row>
    <row r="1810" spans="5:5" x14ac:dyDescent="0.2">
      <c r="E1810" s="872"/>
    </row>
    <row r="1811" spans="5:5" x14ac:dyDescent="0.2">
      <c r="E1811" s="872"/>
    </row>
    <row r="1812" spans="5:5" x14ac:dyDescent="0.2">
      <c r="E1812" s="872"/>
    </row>
    <row r="1813" spans="5:5" x14ac:dyDescent="0.2">
      <c r="E1813" s="872"/>
    </row>
    <row r="1814" spans="5:5" x14ac:dyDescent="0.2">
      <c r="E1814" s="872"/>
    </row>
    <row r="1815" spans="5:5" x14ac:dyDescent="0.2">
      <c r="E1815" s="872"/>
    </row>
    <row r="1816" spans="5:5" x14ac:dyDescent="0.2">
      <c r="E1816" s="872"/>
    </row>
    <row r="1817" spans="5:5" x14ac:dyDescent="0.2">
      <c r="E1817" s="872"/>
    </row>
    <row r="1818" spans="5:5" x14ac:dyDescent="0.2">
      <c r="E1818" s="872"/>
    </row>
    <row r="1819" spans="5:5" x14ac:dyDescent="0.2">
      <c r="E1819" s="872"/>
    </row>
    <row r="1820" spans="5:5" x14ac:dyDescent="0.2">
      <c r="E1820" s="872"/>
    </row>
    <row r="1821" spans="5:5" x14ac:dyDescent="0.2">
      <c r="E1821" s="872"/>
    </row>
    <row r="1822" spans="5:5" x14ac:dyDescent="0.2">
      <c r="E1822" s="872"/>
    </row>
    <row r="1823" spans="5:5" x14ac:dyDescent="0.2">
      <c r="E1823" s="872"/>
    </row>
    <row r="1824" spans="5:5" x14ac:dyDescent="0.2">
      <c r="E1824" s="872"/>
    </row>
    <row r="1825" spans="5:5" x14ac:dyDescent="0.2">
      <c r="E1825" s="872"/>
    </row>
    <row r="1826" spans="5:5" x14ac:dyDescent="0.2">
      <c r="E1826" s="872"/>
    </row>
    <row r="1827" spans="5:5" x14ac:dyDescent="0.2">
      <c r="E1827" s="872"/>
    </row>
    <row r="1828" spans="5:5" x14ac:dyDescent="0.2">
      <c r="E1828" s="872"/>
    </row>
    <row r="1829" spans="5:5" x14ac:dyDescent="0.2">
      <c r="E1829" s="872"/>
    </row>
    <row r="1830" spans="5:5" x14ac:dyDescent="0.2">
      <c r="E1830" s="872"/>
    </row>
    <row r="1831" spans="5:5" x14ac:dyDescent="0.2">
      <c r="E1831" s="872"/>
    </row>
    <row r="1832" spans="5:5" x14ac:dyDescent="0.2">
      <c r="E1832" s="872"/>
    </row>
    <row r="1833" spans="5:5" x14ac:dyDescent="0.2">
      <c r="E1833" s="872"/>
    </row>
    <row r="1834" spans="5:5" x14ac:dyDescent="0.2">
      <c r="E1834" s="872"/>
    </row>
    <row r="1835" spans="5:5" x14ac:dyDescent="0.2">
      <c r="E1835" s="872"/>
    </row>
    <row r="1836" spans="5:5" x14ac:dyDescent="0.2">
      <c r="E1836" s="872"/>
    </row>
    <row r="1837" spans="5:5" x14ac:dyDescent="0.2">
      <c r="E1837" s="872"/>
    </row>
    <row r="1838" spans="5:5" x14ac:dyDescent="0.2">
      <c r="E1838" s="872"/>
    </row>
    <row r="1839" spans="5:5" x14ac:dyDescent="0.2">
      <c r="E1839" s="872"/>
    </row>
    <row r="1840" spans="5:5" x14ac:dyDescent="0.2">
      <c r="E1840" s="872"/>
    </row>
    <row r="1841" spans="5:5" x14ac:dyDescent="0.2">
      <c r="E1841" s="872"/>
    </row>
    <row r="1842" spans="5:5" x14ac:dyDescent="0.2">
      <c r="E1842" s="872"/>
    </row>
    <row r="1843" spans="5:5" x14ac:dyDescent="0.2">
      <c r="E1843" s="872"/>
    </row>
    <row r="1844" spans="5:5" x14ac:dyDescent="0.2">
      <c r="E1844" s="872"/>
    </row>
    <row r="1845" spans="5:5" x14ac:dyDescent="0.2">
      <c r="E1845" s="872"/>
    </row>
    <row r="1846" spans="5:5" x14ac:dyDescent="0.2">
      <c r="E1846" s="872"/>
    </row>
    <row r="1847" spans="5:5" x14ac:dyDescent="0.2">
      <c r="E1847" s="872"/>
    </row>
    <row r="1848" spans="5:5" x14ac:dyDescent="0.2">
      <c r="E1848" s="872"/>
    </row>
    <row r="1849" spans="5:5" x14ac:dyDescent="0.2">
      <c r="E1849" s="872"/>
    </row>
    <row r="1850" spans="5:5" x14ac:dyDescent="0.2">
      <c r="E1850" s="872"/>
    </row>
    <row r="1851" spans="5:5" x14ac:dyDescent="0.2">
      <c r="E1851" s="872"/>
    </row>
    <row r="1852" spans="5:5" x14ac:dyDescent="0.2">
      <c r="E1852" s="872"/>
    </row>
    <row r="1853" spans="5:5" x14ac:dyDescent="0.2">
      <c r="E1853" s="872"/>
    </row>
    <row r="1854" spans="5:5" x14ac:dyDescent="0.2">
      <c r="E1854" s="872"/>
    </row>
    <row r="1855" spans="5:5" x14ac:dyDescent="0.2">
      <c r="E1855" s="872"/>
    </row>
    <row r="1856" spans="5:5" x14ac:dyDescent="0.2">
      <c r="E1856" s="872"/>
    </row>
    <row r="1857" spans="5:5" x14ac:dyDescent="0.2">
      <c r="E1857" s="872"/>
    </row>
    <row r="1858" spans="5:5" x14ac:dyDescent="0.2">
      <c r="E1858" s="872"/>
    </row>
    <row r="1859" spans="5:5" x14ac:dyDescent="0.2">
      <c r="E1859" s="872"/>
    </row>
    <row r="1860" spans="5:5" x14ac:dyDescent="0.2">
      <c r="E1860" s="872"/>
    </row>
    <row r="1861" spans="5:5" x14ac:dyDescent="0.2">
      <c r="E1861" s="872"/>
    </row>
    <row r="1862" spans="5:5" x14ac:dyDescent="0.2">
      <c r="E1862" s="872"/>
    </row>
    <row r="1863" spans="5:5" x14ac:dyDescent="0.2">
      <c r="E1863" s="872"/>
    </row>
    <row r="1864" spans="5:5" x14ac:dyDescent="0.2">
      <c r="E1864" s="872"/>
    </row>
    <row r="1865" spans="5:5" x14ac:dyDescent="0.2">
      <c r="E1865" s="872"/>
    </row>
    <row r="1866" spans="5:5" x14ac:dyDescent="0.2">
      <c r="E1866" s="872"/>
    </row>
    <row r="1867" spans="5:5" x14ac:dyDescent="0.2">
      <c r="E1867" s="872"/>
    </row>
    <row r="1868" spans="5:5" x14ac:dyDescent="0.2">
      <c r="E1868" s="872"/>
    </row>
    <row r="1869" spans="5:5" x14ac:dyDescent="0.2">
      <c r="E1869" s="872"/>
    </row>
    <row r="1870" spans="5:5" x14ac:dyDescent="0.2">
      <c r="E1870" s="872"/>
    </row>
    <row r="1871" spans="5:5" x14ac:dyDescent="0.2">
      <c r="E1871" s="872"/>
    </row>
    <row r="1872" spans="5:5" x14ac:dyDescent="0.2">
      <c r="E1872" s="872"/>
    </row>
    <row r="1873" spans="5:5" x14ac:dyDescent="0.2">
      <c r="E1873" s="872"/>
    </row>
    <row r="1874" spans="5:5" x14ac:dyDescent="0.2">
      <c r="E1874" s="872"/>
    </row>
    <row r="1875" spans="5:5" x14ac:dyDescent="0.2">
      <c r="E1875" s="872"/>
    </row>
    <row r="1876" spans="5:5" x14ac:dyDescent="0.2">
      <c r="E1876" s="872"/>
    </row>
    <row r="1877" spans="5:5" x14ac:dyDescent="0.2">
      <c r="E1877" s="872"/>
    </row>
    <row r="1878" spans="5:5" x14ac:dyDescent="0.2">
      <c r="E1878" s="872"/>
    </row>
    <row r="1879" spans="5:5" x14ac:dyDescent="0.2">
      <c r="E1879" s="872"/>
    </row>
    <row r="1880" spans="5:5" x14ac:dyDescent="0.2">
      <c r="E1880" s="872"/>
    </row>
    <row r="1881" spans="5:5" x14ac:dyDescent="0.2">
      <c r="E1881" s="872"/>
    </row>
    <row r="1882" spans="5:5" x14ac:dyDescent="0.2">
      <c r="E1882" s="872"/>
    </row>
    <row r="1883" spans="5:5" x14ac:dyDescent="0.2">
      <c r="E1883" s="872"/>
    </row>
    <row r="1884" spans="5:5" x14ac:dyDescent="0.2">
      <c r="E1884" s="872"/>
    </row>
    <row r="1885" spans="5:5" x14ac:dyDescent="0.2">
      <c r="E1885" s="872"/>
    </row>
    <row r="1886" spans="5:5" x14ac:dyDescent="0.2">
      <c r="E1886" s="872"/>
    </row>
    <row r="1887" spans="5:5" x14ac:dyDescent="0.2">
      <c r="E1887" s="872"/>
    </row>
    <row r="1888" spans="5:5" x14ac:dyDescent="0.2">
      <c r="E1888" s="872"/>
    </row>
    <row r="1889" spans="5:5" x14ac:dyDescent="0.2">
      <c r="E1889" s="872"/>
    </row>
    <row r="1890" spans="5:5" x14ac:dyDescent="0.2">
      <c r="E1890" s="872"/>
    </row>
    <row r="1891" spans="5:5" x14ac:dyDescent="0.2">
      <c r="E1891" s="872"/>
    </row>
    <row r="1892" spans="5:5" x14ac:dyDescent="0.2">
      <c r="E1892" s="872"/>
    </row>
    <row r="1893" spans="5:5" x14ac:dyDescent="0.2">
      <c r="E1893" s="872"/>
    </row>
    <row r="1894" spans="5:5" x14ac:dyDescent="0.2">
      <c r="E1894" s="872"/>
    </row>
    <row r="1895" spans="5:5" x14ac:dyDescent="0.2">
      <c r="E1895" s="872"/>
    </row>
    <row r="1896" spans="5:5" x14ac:dyDescent="0.2">
      <c r="E1896" s="872"/>
    </row>
    <row r="1897" spans="5:5" x14ac:dyDescent="0.2">
      <c r="E1897" s="872"/>
    </row>
    <row r="1898" spans="5:5" x14ac:dyDescent="0.2">
      <c r="E1898" s="872"/>
    </row>
    <row r="1899" spans="5:5" x14ac:dyDescent="0.2">
      <c r="E1899" s="872"/>
    </row>
    <row r="1900" spans="5:5" x14ac:dyDescent="0.2">
      <c r="E1900" s="872"/>
    </row>
    <row r="1901" spans="5:5" x14ac:dyDescent="0.2">
      <c r="E1901" s="872"/>
    </row>
    <row r="1902" spans="5:5" x14ac:dyDescent="0.2">
      <c r="E1902" s="872"/>
    </row>
    <row r="1903" spans="5:5" x14ac:dyDescent="0.2">
      <c r="E1903" s="872"/>
    </row>
    <row r="1904" spans="5:5" x14ac:dyDescent="0.2">
      <c r="E1904" s="872"/>
    </row>
    <row r="1905" spans="5:5" x14ac:dyDescent="0.2">
      <c r="E1905" s="872"/>
    </row>
    <row r="1906" spans="5:5" x14ac:dyDescent="0.2">
      <c r="E1906" s="872"/>
    </row>
    <row r="1907" spans="5:5" x14ac:dyDescent="0.2">
      <c r="E1907" s="872"/>
    </row>
    <row r="1908" spans="5:5" x14ac:dyDescent="0.2">
      <c r="E1908" s="872"/>
    </row>
    <row r="1909" spans="5:5" x14ac:dyDescent="0.2">
      <c r="E1909" s="872"/>
    </row>
    <row r="1910" spans="5:5" x14ac:dyDescent="0.2">
      <c r="E1910" s="872"/>
    </row>
    <row r="1911" spans="5:5" x14ac:dyDescent="0.2">
      <c r="E1911" s="872"/>
    </row>
    <row r="1912" spans="5:5" x14ac:dyDescent="0.2">
      <c r="E1912" s="872"/>
    </row>
    <row r="1913" spans="5:5" x14ac:dyDescent="0.2">
      <c r="E1913" s="872"/>
    </row>
    <row r="1914" spans="5:5" x14ac:dyDescent="0.2">
      <c r="E1914" s="872"/>
    </row>
    <row r="1915" spans="5:5" x14ac:dyDescent="0.2">
      <c r="E1915" s="872"/>
    </row>
    <row r="1916" spans="5:5" x14ac:dyDescent="0.2">
      <c r="E1916" s="872"/>
    </row>
    <row r="1917" spans="5:5" x14ac:dyDescent="0.2">
      <c r="E1917" s="872"/>
    </row>
    <row r="1918" spans="5:5" x14ac:dyDescent="0.2">
      <c r="E1918" s="872"/>
    </row>
    <row r="1919" spans="5:5" x14ac:dyDescent="0.2">
      <c r="E1919" s="872"/>
    </row>
    <row r="1920" spans="5:5" x14ac:dyDescent="0.2">
      <c r="E1920" s="872"/>
    </row>
    <row r="1921" spans="5:5" x14ac:dyDescent="0.2">
      <c r="E1921" s="872"/>
    </row>
    <row r="1922" spans="5:5" x14ac:dyDescent="0.2">
      <c r="E1922" s="872"/>
    </row>
    <row r="1923" spans="5:5" x14ac:dyDescent="0.2">
      <c r="E1923" s="872"/>
    </row>
    <row r="1924" spans="5:5" x14ac:dyDescent="0.2">
      <c r="E1924" s="872"/>
    </row>
    <row r="1925" spans="5:5" x14ac:dyDescent="0.2">
      <c r="E1925" s="872"/>
    </row>
    <row r="1926" spans="5:5" x14ac:dyDescent="0.2">
      <c r="E1926" s="872"/>
    </row>
    <row r="1927" spans="5:5" x14ac:dyDescent="0.2">
      <c r="E1927" s="872"/>
    </row>
    <row r="1928" spans="5:5" x14ac:dyDescent="0.2">
      <c r="E1928" s="872"/>
    </row>
    <row r="1929" spans="5:5" x14ac:dyDescent="0.2">
      <c r="E1929" s="872"/>
    </row>
    <row r="1930" spans="5:5" x14ac:dyDescent="0.2">
      <c r="E1930" s="872"/>
    </row>
    <row r="1931" spans="5:5" x14ac:dyDescent="0.2">
      <c r="E1931" s="872"/>
    </row>
    <row r="1932" spans="5:5" x14ac:dyDescent="0.2">
      <c r="E1932" s="872"/>
    </row>
    <row r="1933" spans="5:5" x14ac:dyDescent="0.2">
      <c r="E1933" s="872"/>
    </row>
    <row r="1934" spans="5:5" x14ac:dyDescent="0.2">
      <c r="E1934" s="872"/>
    </row>
    <row r="1935" spans="5:5" x14ac:dyDescent="0.2">
      <c r="E1935" s="872"/>
    </row>
    <row r="1936" spans="5:5" x14ac:dyDescent="0.2">
      <c r="E1936" s="872"/>
    </row>
    <row r="1937" spans="5:5" x14ac:dyDescent="0.2">
      <c r="E1937" s="872"/>
    </row>
    <row r="1938" spans="5:5" x14ac:dyDescent="0.2">
      <c r="E1938" s="872"/>
    </row>
    <row r="1939" spans="5:5" x14ac:dyDescent="0.2">
      <c r="E1939" s="872"/>
    </row>
    <row r="1940" spans="5:5" x14ac:dyDescent="0.2">
      <c r="E1940" s="872"/>
    </row>
    <row r="1941" spans="5:5" x14ac:dyDescent="0.2">
      <c r="E1941" s="872"/>
    </row>
    <row r="1942" spans="5:5" x14ac:dyDescent="0.2">
      <c r="E1942" s="872"/>
    </row>
    <row r="1943" spans="5:5" x14ac:dyDescent="0.2">
      <c r="E1943" s="872"/>
    </row>
    <row r="1944" spans="5:5" x14ac:dyDescent="0.2">
      <c r="E1944" s="872"/>
    </row>
    <row r="1945" spans="5:5" x14ac:dyDescent="0.2">
      <c r="E1945" s="872"/>
    </row>
    <row r="1946" spans="5:5" x14ac:dyDescent="0.2">
      <c r="E1946" s="872"/>
    </row>
    <row r="1947" spans="5:5" x14ac:dyDescent="0.2">
      <c r="E1947" s="872"/>
    </row>
    <row r="1948" spans="5:5" x14ac:dyDescent="0.2">
      <c r="E1948" s="872"/>
    </row>
    <row r="1949" spans="5:5" x14ac:dyDescent="0.2">
      <c r="E1949" s="872"/>
    </row>
    <row r="1950" spans="5:5" x14ac:dyDescent="0.2">
      <c r="E1950" s="872"/>
    </row>
    <row r="1951" spans="5:5" x14ac:dyDescent="0.2">
      <c r="E1951" s="872"/>
    </row>
    <row r="1952" spans="5:5" x14ac:dyDescent="0.2">
      <c r="E1952" s="872"/>
    </row>
    <row r="1953" spans="5:5" x14ac:dyDescent="0.2">
      <c r="E1953" s="872"/>
    </row>
    <row r="1954" spans="5:5" x14ac:dyDescent="0.2">
      <c r="E1954" s="872"/>
    </row>
    <row r="1955" spans="5:5" x14ac:dyDescent="0.2">
      <c r="E1955" s="872"/>
    </row>
    <row r="1956" spans="5:5" x14ac:dyDescent="0.2">
      <c r="E1956" s="872"/>
    </row>
    <row r="1957" spans="5:5" x14ac:dyDescent="0.2">
      <c r="E1957" s="872"/>
    </row>
    <row r="1958" spans="5:5" x14ac:dyDescent="0.2">
      <c r="E1958" s="872"/>
    </row>
    <row r="1959" spans="5:5" x14ac:dyDescent="0.2">
      <c r="E1959" s="872"/>
    </row>
    <row r="1960" spans="5:5" x14ac:dyDescent="0.2">
      <c r="E1960" s="872"/>
    </row>
    <row r="1961" spans="5:5" x14ac:dyDescent="0.2">
      <c r="E1961" s="872"/>
    </row>
    <row r="1962" spans="5:5" x14ac:dyDescent="0.2">
      <c r="E1962" s="872"/>
    </row>
    <row r="1963" spans="5:5" x14ac:dyDescent="0.2">
      <c r="E1963" s="872"/>
    </row>
    <row r="1964" spans="5:5" x14ac:dyDescent="0.2">
      <c r="E1964" s="872"/>
    </row>
    <row r="1965" spans="5:5" x14ac:dyDescent="0.2">
      <c r="E1965" s="872"/>
    </row>
    <row r="1966" spans="5:5" x14ac:dyDescent="0.2">
      <c r="E1966" s="872"/>
    </row>
    <row r="1967" spans="5:5" x14ac:dyDescent="0.2">
      <c r="E1967" s="872"/>
    </row>
    <row r="1968" spans="5:5" x14ac:dyDescent="0.2">
      <c r="E1968" s="872"/>
    </row>
    <row r="1969" spans="5:5" x14ac:dyDescent="0.2">
      <c r="E1969" s="872"/>
    </row>
    <row r="1970" spans="5:5" x14ac:dyDescent="0.2">
      <c r="E1970" s="872"/>
    </row>
    <row r="1971" spans="5:5" x14ac:dyDescent="0.2">
      <c r="E1971" s="872"/>
    </row>
    <row r="1972" spans="5:5" x14ac:dyDescent="0.2">
      <c r="E1972" s="872"/>
    </row>
    <row r="1973" spans="5:5" x14ac:dyDescent="0.2">
      <c r="E1973" s="872"/>
    </row>
    <row r="1974" spans="5:5" x14ac:dyDescent="0.2">
      <c r="E1974" s="872"/>
    </row>
    <row r="1975" spans="5:5" x14ac:dyDescent="0.2">
      <c r="E1975" s="872"/>
    </row>
    <row r="1976" spans="5:5" x14ac:dyDescent="0.2">
      <c r="E1976" s="872"/>
    </row>
    <row r="1977" spans="5:5" x14ac:dyDescent="0.2">
      <c r="E1977" s="872"/>
    </row>
    <row r="1978" spans="5:5" x14ac:dyDescent="0.2">
      <c r="E1978" s="872"/>
    </row>
    <row r="1979" spans="5:5" x14ac:dyDescent="0.2">
      <c r="E1979" s="872"/>
    </row>
    <row r="1980" spans="5:5" x14ac:dyDescent="0.2">
      <c r="E1980" s="872"/>
    </row>
    <row r="1981" spans="5:5" x14ac:dyDescent="0.2">
      <c r="E1981" s="872"/>
    </row>
    <row r="1982" spans="5:5" x14ac:dyDescent="0.2">
      <c r="E1982" s="872"/>
    </row>
    <row r="1983" spans="5:5" x14ac:dyDescent="0.2">
      <c r="E1983" s="872"/>
    </row>
    <row r="1984" spans="5:5" x14ac:dyDescent="0.2">
      <c r="E1984" s="872"/>
    </row>
    <row r="1985" spans="5:5" x14ac:dyDescent="0.2">
      <c r="E1985" s="872"/>
    </row>
    <row r="1986" spans="5:5" x14ac:dyDescent="0.2">
      <c r="E1986" s="872"/>
    </row>
    <row r="1987" spans="5:5" x14ac:dyDescent="0.2">
      <c r="E1987" s="872"/>
    </row>
    <row r="1988" spans="5:5" x14ac:dyDescent="0.2">
      <c r="E1988" s="872"/>
    </row>
    <row r="1989" spans="5:5" x14ac:dyDescent="0.2">
      <c r="E1989" s="872"/>
    </row>
    <row r="1990" spans="5:5" x14ac:dyDescent="0.2">
      <c r="E1990" s="872"/>
    </row>
    <row r="1991" spans="5:5" x14ac:dyDescent="0.2">
      <c r="E1991" s="872"/>
    </row>
    <row r="1992" spans="5:5" x14ac:dyDescent="0.2">
      <c r="E1992" s="872"/>
    </row>
    <row r="1993" spans="5:5" x14ac:dyDescent="0.2">
      <c r="E1993" s="872"/>
    </row>
    <row r="1994" spans="5:5" x14ac:dyDescent="0.2">
      <c r="E1994" s="872"/>
    </row>
    <row r="1995" spans="5:5" x14ac:dyDescent="0.2">
      <c r="E1995" s="872"/>
    </row>
    <row r="1996" spans="5:5" x14ac:dyDescent="0.2">
      <c r="E1996" s="872"/>
    </row>
    <row r="1997" spans="5:5" x14ac:dyDescent="0.2">
      <c r="E1997" s="872"/>
    </row>
    <row r="1998" spans="5:5" x14ac:dyDescent="0.2">
      <c r="E1998" s="872"/>
    </row>
    <row r="1999" spans="5:5" x14ac:dyDescent="0.2">
      <c r="E1999" s="872"/>
    </row>
    <row r="2000" spans="5:5" x14ac:dyDescent="0.2">
      <c r="E2000" s="872"/>
    </row>
    <row r="2001" spans="5:5" x14ac:dyDescent="0.2">
      <c r="E2001" s="872"/>
    </row>
    <row r="2002" spans="5:5" x14ac:dyDescent="0.2">
      <c r="E2002" s="872"/>
    </row>
    <row r="2003" spans="5:5" x14ac:dyDescent="0.2">
      <c r="E2003" s="872"/>
    </row>
    <row r="2004" spans="5:5" x14ac:dyDescent="0.2">
      <c r="E2004" s="872"/>
    </row>
    <row r="2005" spans="5:5" x14ac:dyDescent="0.2">
      <c r="E2005" s="872"/>
    </row>
    <row r="2006" spans="5:5" x14ac:dyDescent="0.2">
      <c r="E2006" s="872"/>
    </row>
    <row r="2007" spans="5:5" x14ac:dyDescent="0.2">
      <c r="E2007" s="872"/>
    </row>
    <row r="2008" spans="5:5" x14ac:dyDescent="0.2">
      <c r="E2008" s="872"/>
    </row>
    <row r="2009" spans="5:5" x14ac:dyDescent="0.2">
      <c r="E2009" s="872"/>
    </row>
    <row r="2010" spans="5:5" x14ac:dyDescent="0.2">
      <c r="E2010" s="872"/>
    </row>
    <row r="2011" spans="5:5" x14ac:dyDescent="0.2">
      <c r="E2011" s="872"/>
    </row>
    <row r="2012" spans="5:5" x14ac:dyDescent="0.2">
      <c r="E2012" s="872"/>
    </row>
    <row r="2013" spans="5:5" x14ac:dyDescent="0.2">
      <c r="E2013" s="872"/>
    </row>
    <row r="2014" spans="5:5" x14ac:dyDescent="0.2">
      <c r="E2014" s="872"/>
    </row>
    <row r="2015" spans="5:5" x14ac:dyDescent="0.2">
      <c r="E2015" s="872"/>
    </row>
    <row r="2016" spans="5:5" x14ac:dyDescent="0.2">
      <c r="E2016" s="872"/>
    </row>
    <row r="2017" spans="5:5" x14ac:dyDescent="0.2">
      <c r="E2017" s="872"/>
    </row>
    <row r="2018" spans="5:5" x14ac:dyDescent="0.2">
      <c r="E2018" s="872"/>
    </row>
    <row r="2019" spans="5:5" x14ac:dyDescent="0.2">
      <c r="E2019" s="872"/>
    </row>
    <row r="2020" spans="5:5" x14ac:dyDescent="0.2">
      <c r="E2020" s="872"/>
    </row>
    <row r="2021" spans="5:5" x14ac:dyDescent="0.2">
      <c r="E2021" s="872"/>
    </row>
    <row r="2022" spans="5:5" x14ac:dyDescent="0.2">
      <c r="E2022" s="872"/>
    </row>
    <row r="2023" spans="5:5" x14ac:dyDescent="0.2">
      <c r="E2023" s="872"/>
    </row>
    <row r="2024" spans="5:5" x14ac:dyDescent="0.2">
      <c r="E2024" s="872"/>
    </row>
    <row r="2025" spans="5:5" x14ac:dyDescent="0.2">
      <c r="E2025" s="872"/>
    </row>
    <row r="2026" spans="5:5" x14ac:dyDescent="0.2">
      <c r="E2026" s="872"/>
    </row>
    <row r="2027" spans="5:5" x14ac:dyDescent="0.2">
      <c r="E2027" s="872"/>
    </row>
    <row r="2028" spans="5:5" x14ac:dyDescent="0.2">
      <c r="E2028" s="872"/>
    </row>
    <row r="2029" spans="5:5" x14ac:dyDescent="0.2">
      <c r="E2029" s="872"/>
    </row>
    <row r="2030" spans="5:5" x14ac:dyDescent="0.2">
      <c r="E2030" s="872"/>
    </row>
    <row r="2031" spans="5:5" x14ac:dyDescent="0.2">
      <c r="E2031" s="872"/>
    </row>
    <row r="2032" spans="5:5" x14ac:dyDescent="0.2">
      <c r="E2032" s="872"/>
    </row>
    <row r="2033" spans="5:5" x14ac:dyDescent="0.2">
      <c r="E2033" s="872"/>
    </row>
    <row r="2034" spans="5:5" x14ac:dyDescent="0.2">
      <c r="E2034" s="872"/>
    </row>
    <row r="2035" spans="5:5" x14ac:dyDescent="0.2">
      <c r="E2035" s="872"/>
    </row>
    <row r="2036" spans="5:5" x14ac:dyDescent="0.2">
      <c r="E2036" s="872"/>
    </row>
    <row r="2037" spans="5:5" x14ac:dyDescent="0.2">
      <c r="E2037" s="872"/>
    </row>
    <row r="2038" spans="5:5" x14ac:dyDescent="0.2">
      <c r="E2038" s="872"/>
    </row>
    <row r="2039" spans="5:5" x14ac:dyDescent="0.2">
      <c r="E2039" s="872"/>
    </row>
    <row r="2040" spans="5:5" x14ac:dyDescent="0.2">
      <c r="E2040" s="872"/>
    </row>
    <row r="2041" spans="5:5" x14ac:dyDescent="0.2">
      <c r="E2041" s="872"/>
    </row>
    <row r="2042" spans="5:5" x14ac:dyDescent="0.2">
      <c r="E2042" s="872"/>
    </row>
    <row r="2043" spans="5:5" x14ac:dyDescent="0.2">
      <c r="E2043" s="872"/>
    </row>
    <row r="2044" spans="5:5" x14ac:dyDescent="0.2">
      <c r="E2044" s="872"/>
    </row>
    <row r="2045" spans="5:5" x14ac:dyDescent="0.2">
      <c r="E2045" s="872"/>
    </row>
    <row r="2046" spans="5:5" x14ac:dyDescent="0.2">
      <c r="E2046" s="872"/>
    </row>
    <row r="2047" spans="5:5" x14ac:dyDescent="0.2">
      <c r="E2047" s="872"/>
    </row>
    <row r="2048" spans="5:5" x14ac:dyDescent="0.2">
      <c r="E2048" s="872"/>
    </row>
    <row r="2049" spans="5:5" x14ac:dyDescent="0.2">
      <c r="E2049" s="872"/>
    </row>
    <row r="2050" spans="5:5" x14ac:dyDescent="0.2">
      <c r="E2050" s="872"/>
    </row>
    <row r="2051" spans="5:5" x14ac:dyDescent="0.2">
      <c r="E2051" s="872"/>
    </row>
    <row r="2052" spans="5:5" x14ac:dyDescent="0.2">
      <c r="E2052" s="872"/>
    </row>
    <row r="2053" spans="5:5" x14ac:dyDescent="0.2">
      <c r="E2053" s="872"/>
    </row>
    <row r="2054" spans="5:5" x14ac:dyDescent="0.2">
      <c r="E2054" s="872"/>
    </row>
    <row r="2055" spans="5:5" x14ac:dyDescent="0.2">
      <c r="E2055" s="872"/>
    </row>
    <row r="2056" spans="5:5" x14ac:dyDescent="0.2">
      <c r="E2056" s="872"/>
    </row>
    <row r="2057" spans="5:5" x14ac:dyDescent="0.2">
      <c r="E2057" s="872"/>
    </row>
    <row r="2058" spans="5:5" x14ac:dyDescent="0.2">
      <c r="E2058" s="872"/>
    </row>
    <row r="2059" spans="5:5" x14ac:dyDescent="0.2">
      <c r="E2059" s="872"/>
    </row>
    <row r="2060" spans="5:5" x14ac:dyDescent="0.2">
      <c r="E2060" s="872"/>
    </row>
    <row r="2061" spans="5:5" x14ac:dyDescent="0.2">
      <c r="E2061" s="872"/>
    </row>
    <row r="2062" spans="5:5" x14ac:dyDescent="0.2">
      <c r="E2062" s="872"/>
    </row>
    <row r="2063" spans="5:5" x14ac:dyDescent="0.2">
      <c r="E2063" s="872"/>
    </row>
    <row r="2064" spans="5:5" x14ac:dyDescent="0.2">
      <c r="E2064" s="872"/>
    </row>
    <row r="2065" spans="5:5" x14ac:dyDescent="0.2">
      <c r="E2065" s="872"/>
    </row>
    <row r="2066" spans="5:5" x14ac:dyDescent="0.2">
      <c r="E2066" s="872"/>
    </row>
    <row r="2067" spans="5:5" x14ac:dyDescent="0.2">
      <c r="E2067" s="872"/>
    </row>
    <row r="2068" spans="5:5" x14ac:dyDescent="0.2">
      <c r="E2068" s="872"/>
    </row>
    <row r="2069" spans="5:5" x14ac:dyDescent="0.2">
      <c r="E2069" s="872"/>
    </row>
    <row r="2070" spans="5:5" x14ac:dyDescent="0.2">
      <c r="E2070" s="872"/>
    </row>
    <row r="2071" spans="5:5" x14ac:dyDescent="0.2">
      <c r="E2071" s="872"/>
    </row>
    <row r="2072" spans="5:5" x14ac:dyDescent="0.2">
      <c r="E2072" s="872"/>
    </row>
    <row r="2073" spans="5:5" x14ac:dyDescent="0.2">
      <c r="E2073" s="872"/>
    </row>
    <row r="2074" spans="5:5" x14ac:dyDescent="0.2">
      <c r="E2074" s="872"/>
    </row>
    <row r="2075" spans="5:5" x14ac:dyDescent="0.2">
      <c r="E2075" s="872"/>
    </row>
    <row r="2076" spans="5:5" x14ac:dyDescent="0.2">
      <c r="E2076" s="872"/>
    </row>
    <row r="2077" spans="5:5" x14ac:dyDescent="0.2">
      <c r="E2077" s="872"/>
    </row>
    <row r="2078" spans="5:5" x14ac:dyDescent="0.2">
      <c r="E2078" s="872"/>
    </row>
    <row r="2079" spans="5:5" x14ac:dyDescent="0.2">
      <c r="E2079" s="872"/>
    </row>
    <row r="2080" spans="5:5" x14ac:dyDescent="0.2">
      <c r="E2080" s="872"/>
    </row>
    <row r="2081" spans="5:5" x14ac:dyDescent="0.2">
      <c r="E2081" s="872"/>
    </row>
    <row r="2082" spans="5:5" x14ac:dyDescent="0.2">
      <c r="E2082" s="872"/>
    </row>
    <row r="2083" spans="5:5" x14ac:dyDescent="0.2">
      <c r="E2083" s="872"/>
    </row>
    <row r="2084" spans="5:5" x14ac:dyDescent="0.2">
      <c r="E2084" s="872"/>
    </row>
    <row r="2085" spans="5:5" x14ac:dyDescent="0.2">
      <c r="E2085" s="872"/>
    </row>
    <row r="2086" spans="5:5" x14ac:dyDescent="0.2">
      <c r="E2086" s="872"/>
    </row>
    <row r="2087" spans="5:5" x14ac:dyDescent="0.2">
      <c r="E2087" s="872"/>
    </row>
    <row r="2088" spans="5:5" x14ac:dyDescent="0.2">
      <c r="E2088" s="872"/>
    </row>
    <row r="2089" spans="5:5" x14ac:dyDescent="0.2">
      <c r="E2089" s="872"/>
    </row>
    <row r="2090" spans="5:5" x14ac:dyDescent="0.2">
      <c r="E2090" s="872"/>
    </row>
    <row r="2091" spans="5:5" x14ac:dyDescent="0.2">
      <c r="E2091" s="872"/>
    </row>
    <row r="2092" spans="5:5" x14ac:dyDescent="0.2">
      <c r="E2092" s="872"/>
    </row>
    <row r="2093" spans="5:5" x14ac:dyDescent="0.2">
      <c r="E2093" s="872"/>
    </row>
    <row r="2094" spans="5:5" x14ac:dyDescent="0.2">
      <c r="E2094" s="872"/>
    </row>
    <row r="2095" spans="5:5" x14ac:dyDescent="0.2">
      <c r="E2095" s="872"/>
    </row>
    <row r="2096" spans="5:5" x14ac:dyDescent="0.2">
      <c r="E2096" s="872"/>
    </row>
    <row r="2097" spans="5:5" x14ac:dyDescent="0.2">
      <c r="E2097" s="872"/>
    </row>
    <row r="2098" spans="5:5" x14ac:dyDescent="0.2">
      <c r="E2098" s="872"/>
    </row>
    <row r="2099" spans="5:5" x14ac:dyDescent="0.2">
      <c r="E2099" s="872"/>
    </row>
    <row r="2100" spans="5:5" x14ac:dyDescent="0.2">
      <c r="E2100" s="872"/>
    </row>
    <row r="2101" spans="5:5" x14ac:dyDescent="0.2">
      <c r="E2101" s="872"/>
    </row>
    <row r="2102" spans="5:5" x14ac:dyDescent="0.2">
      <c r="E2102" s="872"/>
    </row>
    <row r="2103" spans="5:5" x14ac:dyDescent="0.2">
      <c r="E2103" s="872"/>
    </row>
    <row r="2104" spans="5:5" x14ac:dyDescent="0.2">
      <c r="E2104" s="872"/>
    </row>
    <row r="2105" spans="5:5" x14ac:dyDescent="0.2">
      <c r="E2105" s="872"/>
    </row>
    <row r="2106" spans="5:5" x14ac:dyDescent="0.2">
      <c r="E2106" s="872"/>
    </row>
    <row r="2107" spans="5:5" x14ac:dyDescent="0.2">
      <c r="E2107" s="872"/>
    </row>
    <row r="2108" spans="5:5" x14ac:dyDescent="0.2">
      <c r="E2108" s="872"/>
    </row>
    <row r="2109" spans="5:5" x14ac:dyDescent="0.2">
      <c r="E2109" s="872"/>
    </row>
    <row r="2110" spans="5:5" x14ac:dyDescent="0.2">
      <c r="E2110" s="872"/>
    </row>
    <row r="2111" spans="5:5" x14ac:dyDescent="0.2">
      <c r="E2111" s="872"/>
    </row>
    <row r="2112" spans="5:5" x14ac:dyDescent="0.2">
      <c r="E2112" s="872"/>
    </row>
    <row r="2113" spans="5:5" x14ac:dyDescent="0.2">
      <c r="E2113" s="872"/>
    </row>
    <row r="2114" spans="5:5" x14ac:dyDescent="0.2">
      <c r="E2114" s="872"/>
    </row>
    <row r="2115" spans="5:5" x14ac:dyDescent="0.2">
      <c r="E2115" s="872"/>
    </row>
    <row r="2116" spans="5:5" x14ac:dyDescent="0.2">
      <c r="E2116" s="872"/>
    </row>
    <row r="2117" spans="5:5" x14ac:dyDescent="0.2">
      <c r="E2117" s="872"/>
    </row>
    <row r="2118" spans="5:5" x14ac:dyDescent="0.2">
      <c r="E2118" s="872"/>
    </row>
    <row r="2119" spans="5:5" x14ac:dyDescent="0.2">
      <c r="E2119" s="872"/>
    </row>
    <row r="2120" spans="5:5" x14ac:dyDescent="0.2">
      <c r="E2120" s="872"/>
    </row>
    <row r="2121" spans="5:5" x14ac:dyDescent="0.2">
      <c r="E2121" s="872"/>
    </row>
    <row r="2122" spans="5:5" x14ac:dyDescent="0.2">
      <c r="E2122" s="872"/>
    </row>
    <row r="2123" spans="5:5" x14ac:dyDescent="0.2">
      <c r="E2123" s="872"/>
    </row>
    <row r="2124" spans="5:5" x14ac:dyDescent="0.2">
      <c r="E2124" s="872"/>
    </row>
    <row r="2125" spans="5:5" x14ac:dyDescent="0.2">
      <c r="E2125" s="872"/>
    </row>
    <row r="2126" spans="5:5" x14ac:dyDescent="0.2">
      <c r="E2126" s="872"/>
    </row>
    <row r="2127" spans="5:5" x14ac:dyDescent="0.2">
      <c r="E2127" s="872"/>
    </row>
    <row r="2128" spans="5:5" x14ac:dyDescent="0.2">
      <c r="E2128" s="872"/>
    </row>
    <row r="2129" spans="5:5" x14ac:dyDescent="0.2">
      <c r="E2129" s="872"/>
    </row>
    <row r="2130" spans="5:5" x14ac:dyDescent="0.2">
      <c r="E2130" s="872"/>
    </row>
    <row r="2131" spans="5:5" x14ac:dyDescent="0.2">
      <c r="E2131" s="872"/>
    </row>
    <row r="2132" spans="5:5" x14ac:dyDescent="0.2">
      <c r="E2132" s="872"/>
    </row>
    <row r="2133" spans="5:5" x14ac:dyDescent="0.2">
      <c r="E2133" s="872"/>
    </row>
    <row r="2134" spans="5:5" x14ac:dyDescent="0.2">
      <c r="E2134" s="872"/>
    </row>
    <row r="2135" spans="5:5" x14ac:dyDescent="0.2">
      <c r="E2135" s="872"/>
    </row>
    <row r="2136" spans="5:5" x14ac:dyDescent="0.2">
      <c r="E2136" s="872"/>
    </row>
    <row r="2137" spans="5:5" x14ac:dyDescent="0.2">
      <c r="E2137" s="872"/>
    </row>
    <row r="2138" spans="5:5" x14ac:dyDescent="0.2">
      <c r="E2138" s="872"/>
    </row>
    <row r="2139" spans="5:5" x14ac:dyDescent="0.2">
      <c r="E2139" s="872"/>
    </row>
    <row r="2140" spans="5:5" x14ac:dyDescent="0.2">
      <c r="E2140" s="872"/>
    </row>
    <row r="2141" spans="5:5" x14ac:dyDescent="0.2">
      <c r="E2141" s="872"/>
    </row>
    <row r="2142" spans="5:5" x14ac:dyDescent="0.2">
      <c r="E2142" s="872"/>
    </row>
    <row r="2143" spans="5:5" x14ac:dyDescent="0.2">
      <c r="E2143" s="872"/>
    </row>
    <row r="2144" spans="5:5" x14ac:dyDescent="0.2">
      <c r="E2144" s="872"/>
    </row>
    <row r="2145" spans="5:5" x14ac:dyDescent="0.2">
      <c r="E2145" s="872"/>
    </row>
    <row r="2146" spans="5:5" x14ac:dyDescent="0.2">
      <c r="E2146" s="872"/>
    </row>
    <row r="2147" spans="5:5" x14ac:dyDescent="0.2">
      <c r="E2147" s="872"/>
    </row>
    <row r="2148" spans="5:5" x14ac:dyDescent="0.2">
      <c r="E2148" s="872"/>
    </row>
    <row r="2149" spans="5:5" x14ac:dyDescent="0.2">
      <c r="E2149" s="872"/>
    </row>
    <row r="2150" spans="5:5" x14ac:dyDescent="0.2">
      <c r="E2150" s="872"/>
    </row>
    <row r="2151" spans="5:5" x14ac:dyDescent="0.2">
      <c r="E2151" s="872"/>
    </row>
    <row r="2152" spans="5:5" x14ac:dyDescent="0.2">
      <c r="E2152" s="872"/>
    </row>
    <row r="2153" spans="5:5" x14ac:dyDescent="0.2">
      <c r="E2153" s="872"/>
    </row>
    <row r="2154" spans="5:5" x14ac:dyDescent="0.2">
      <c r="E2154" s="872"/>
    </row>
    <row r="2155" spans="5:5" x14ac:dyDescent="0.2">
      <c r="E2155" s="872"/>
    </row>
    <row r="2156" spans="5:5" x14ac:dyDescent="0.2">
      <c r="E2156" s="872"/>
    </row>
    <row r="2157" spans="5:5" x14ac:dyDescent="0.2">
      <c r="E2157" s="872"/>
    </row>
    <row r="2158" spans="5:5" x14ac:dyDescent="0.2">
      <c r="E2158" s="872"/>
    </row>
    <row r="2159" spans="5:5" x14ac:dyDescent="0.2">
      <c r="E2159" s="872"/>
    </row>
    <row r="2160" spans="5:5" x14ac:dyDescent="0.2">
      <c r="E2160" s="872"/>
    </row>
    <row r="2161" spans="5:5" x14ac:dyDescent="0.2">
      <c r="E2161" s="872"/>
    </row>
    <row r="2162" spans="5:5" x14ac:dyDescent="0.2">
      <c r="E2162" s="872"/>
    </row>
    <row r="2163" spans="5:5" x14ac:dyDescent="0.2">
      <c r="E2163" s="872"/>
    </row>
    <row r="2164" spans="5:5" x14ac:dyDescent="0.2">
      <c r="E2164" s="872"/>
    </row>
    <row r="2165" spans="5:5" x14ac:dyDescent="0.2">
      <c r="E2165" s="872"/>
    </row>
    <row r="2166" spans="5:5" x14ac:dyDescent="0.2">
      <c r="E2166" s="872"/>
    </row>
    <row r="2167" spans="5:5" x14ac:dyDescent="0.2">
      <c r="E2167" s="872"/>
    </row>
    <row r="2168" spans="5:5" x14ac:dyDescent="0.2">
      <c r="E2168" s="872"/>
    </row>
    <row r="2169" spans="5:5" x14ac:dyDescent="0.2">
      <c r="E2169" s="872"/>
    </row>
    <row r="2170" spans="5:5" x14ac:dyDescent="0.2">
      <c r="E2170" s="872"/>
    </row>
    <row r="2171" spans="5:5" x14ac:dyDescent="0.2">
      <c r="E2171" s="872"/>
    </row>
    <row r="2172" spans="5:5" x14ac:dyDescent="0.2">
      <c r="E2172" s="872"/>
    </row>
    <row r="2173" spans="5:5" x14ac:dyDescent="0.2">
      <c r="E2173" s="872"/>
    </row>
    <row r="2174" spans="5:5" x14ac:dyDescent="0.2">
      <c r="E2174" s="872"/>
    </row>
    <row r="2175" spans="5:5" x14ac:dyDescent="0.2">
      <c r="E2175" s="872"/>
    </row>
    <row r="2176" spans="5:5" x14ac:dyDescent="0.2">
      <c r="E2176" s="872"/>
    </row>
    <row r="2177" spans="5:5" x14ac:dyDescent="0.2">
      <c r="E2177" s="872"/>
    </row>
    <row r="2178" spans="5:5" x14ac:dyDescent="0.2">
      <c r="E2178" s="872"/>
    </row>
    <row r="2179" spans="5:5" x14ac:dyDescent="0.2">
      <c r="E2179" s="872"/>
    </row>
    <row r="2180" spans="5:5" x14ac:dyDescent="0.2">
      <c r="E2180" s="872"/>
    </row>
    <row r="2181" spans="5:5" x14ac:dyDescent="0.2">
      <c r="E2181" s="872"/>
    </row>
    <row r="2182" spans="5:5" x14ac:dyDescent="0.2">
      <c r="E2182" s="872"/>
    </row>
    <row r="2183" spans="5:5" x14ac:dyDescent="0.2">
      <c r="E2183" s="872"/>
    </row>
    <row r="2184" spans="5:5" x14ac:dyDescent="0.2">
      <c r="E2184" s="872"/>
    </row>
    <row r="2185" spans="5:5" x14ac:dyDescent="0.2">
      <c r="E2185" s="872"/>
    </row>
    <row r="2186" spans="5:5" x14ac:dyDescent="0.2">
      <c r="E2186" s="872"/>
    </row>
    <row r="2187" spans="5:5" x14ac:dyDescent="0.2">
      <c r="E2187" s="872"/>
    </row>
    <row r="2188" spans="5:5" x14ac:dyDescent="0.2">
      <c r="E2188" s="872"/>
    </row>
    <row r="2189" spans="5:5" x14ac:dyDescent="0.2">
      <c r="E2189" s="872"/>
    </row>
    <row r="2190" spans="5:5" x14ac:dyDescent="0.2">
      <c r="E2190" s="872"/>
    </row>
    <row r="2191" spans="5:5" x14ac:dyDescent="0.2">
      <c r="E2191" s="872"/>
    </row>
    <row r="2192" spans="5:5" x14ac:dyDescent="0.2">
      <c r="E2192" s="872"/>
    </row>
    <row r="2193" spans="5:5" x14ac:dyDescent="0.2">
      <c r="E2193" s="872"/>
    </row>
    <row r="2194" spans="5:5" x14ac:dyDescent="0.2">
      <c r="E2194" s="872"/>
    </row>
    <row r="2195" spans="5:5" x14ac:dyDescent="0.2">
      <c r="E2195" s="872"/>
    </row>
    <row r="2196" spans="5:5" x14ac:dyDescent="0.2">
      <c r="E2196" s="872"/>
    </row>
    <row r="2197" spans="5:5" x14ac:dyDescent="0.2">
      <c r="E2197" s="872"/>
    </row>
    <row r="2198" spans="5:5" x14ac:dyDescent="0.2">
      <c r="E2198" s="872"/>
    </row>
    <row r="2199" spans="5:5" x14ac:dyDescent="0.2">
      <c r="E2199" s="872"/>
    </row>
    <row r="2200" spans="5:5" x14ac:dyDescent="0.2">
      <c r="E2200" s="872"/>
    </row>
    <row r="2201" spans="5:5" x14ac:dyDescent="0.2">
      <c r="E2201" s="872"/>
    </row>
    <row r="2202" spans="5:5" x14ac:dyDescent="0.2">
      <c r="E2202" s="872"/>
    </row>
    <row r="2203" spans="5:5" x14ac:dyDescent="0.2">
      <c r="E2203" s="872"/>
    </row>
    <row r="2204" spans="5:5" x14ac:dyDescent="0.2">
      <c r="E2204" s="872"/>
    </row>
    <row r="2205" spans="5:5" x14ac:dyDescent="0.2">
      <c r="E2205" s="872"/>
    </row>
    <row r="2206" spans="5:5" x14ac:dyDescent="0.2">
      <c r="E2206" s="872"/>
    </row>
    <row r="2207" spans="5:5" x14ac:dyDescent="0.2">
      <c r="E2207" s="872"/>
    </row>
    <row r="2208" spans="5:5" x14ac:dyDescent="0.2">
      <c r="E2208" s="872"/>
    </row>
    <row r="2209" spans="5:5" x14ac:dyDescent="0.2">
      <c r="E2209" s="872"/>
    </row>
    <row r="2210" spans="5:5" x14ac:dyDescent="0.2">
      <c r="E2210" s="872"/>
    </row>
    <row r="2211" spans="5:5" x14ac:dyDescent="0.2">
      <c r="E2211" s="872"/>
    </row>
    <row r="2212" spans="5:5" x14ac:dyDescent="0.2">
      <c r="E2212" s="872"/>
    </row>
    <row r="2213" spans="5:5" x14ac:dyDescent="0.2">
      <c r="E2213" s="872"/>
    </row>
    <row r="2214" spans="5:5" x14ac:dyDescent="0.2">
      <c r="E2214" s="872"/>
    </row>
    <row r="2215" spans="5:5" x14ac:dyDescent="0.2">
      <c r="E2215" s="872"/>
    </row>
    <row r="2216" spans="5:5" x14ac:dyDescent="0.2">
      <c r="E2216" s="872"/>
    </row>
    <row r="2217" spans="5:5" x14ac:dyDescent="0.2">
      <c r="E2217" s="872"/>
    </row>
    <row r="2218" spans="5:5" x14ac:dyDescent="0.2">
      <c r="E2218" s="872"/>
    </row>
    <row r="2219" spans="5:5" x14ac:dyDescent="0.2">
      <c r="E2219" s="872"/>
    </row>
    <row r="2220" spans="5:5" x14ac:dyDescent="0.2">
      <c r="E2220" s="872"/>
    </row>
    <row r="2221" spans="5:5" x14ac:dyDescent="0.2">
      <c r="E2221" s="872"/>
    </row>
    <row r="2222" spans="5:5" x14ac:dyDescent="0.2">
      <c r="E2222" s="872"/>
    </row>
    <row r="2223" spans="5:5" x14ac:dyDescent="0.2">
      <c r="E2223" s="872"/>
    </row>
    <row r="2224" spans="5:5" x14ac:dyDescent="0.2">
      <c r="E2224" s="872"/>
    </row>
    <row r="2225" spans="5:5" x14ac:dyDescent="0.2">
      <c r="E2225" s="872"/>
    </row>
    <row r="2226" spans="5:5" x14ac:dyDescent="0.2">
      <c r="E2226" s="872"/>
    </row>
    <row r="2227" spans="5:5" x14ac:dyDescent="0.2">
      <c r="E2227" s="872"/>
    </row>
    <row r="2228" spans="5:5" x14ac:dyDescent="0.2">
      <c r="E2228" s="872"/>
    </row>
    <row r="2229" spans="5:5" x14ac:dyDescent="0.2">
      <c r="E2229" s="872"/>
    </row>
    <row r="2230" spans="5:5" x14ac:dyDescent="0.2">
      <c r="E2230" s="872"/>
    </row>
    <row r="2231" spans="5:5" x14ac:dyDescent="0.2">
      <c r="E2231" s="872"/>
    </row>
    <row r="2232" spans="5:5" x14ac:dyDescent="0.2">
      <c r="E2232" s="872"/>
    </row>
    <row r="2233" spans="5:5" x14ac:dyDescent="0.2">
      <c r="E2233" s="872"/>
    </row>
    <row r="2234" spans="5:5" x14ac:dyDescent="0.2">
      <c r="E2234" s="872"/>
    </row>
    <row r="2235" spans="5:5" x14ac:dyDescent="0.2">
      <c r="E2235" s="872"/>
    </row>
    <row r="2236" spans="5:5" x14ac:dyDescent="0.2">
      <c r="E2236" s="872"/>
    </row>
    <row r="2237" spans="5:5" x14ac:dyDescent="0.2">
      <c r="E2237" s="872"/>
    </row>
    <row r="2238" spans="5:5" x14ac:dyDescent="0.2">
      <c r="E2238" s="872"/>
    </row>
    <row r="2239" spans="5:5" x14ac:dyDescent="0.2">
      <c r="E2239" s="872"/>
    </row>
    <row r="2240" spans="5:5" x14ac:dyDescent="0.2">
      <c r="E2240" s="872"/>
    </row>
    <row r="2241" spans="5:5" x14ac:dyDescent="0.2">
      <c r="E2241" s="872"/>
    </row>
    <row r="2242" spans="5:5" x14ac:dyDescent="0.2">
      <c r="E2242" s="872"/>
    </row>
    <row r="2243" spans="5:5" x14ac:dyDescent="0.2">
      <c r="E2243" s="872"/>
    </row>
    <row r="2244" spans="5:5" x14ac:dyDescent="0.2">
      <c r="E2244" s="872"/>
    </row>
    <row r="2245" spans="5:5" x14ac:dyDescent="0.2">
      <c r="E2245" s="872"/>
    </row>
    <row r="2246" spans="5:5" x14ac:dyDescent="0.2">
      <c r="E2246" s="872"/>
    </row>
    <row r="2247" spans="5:5" x14ac:dyDescent="0.2">
      <c r="E2247" s="872"/>
    </row>
    <row r="2248" spans="5:5" x14ac:dyDescent="0.2">
      <c r="E2248" s="872"/>
    </row>
    <row r="2249" spans="5:5" x14ac:dyDescent="0.2">
      <c r="E2249" s="872"/>
    </row>
    <row r="2250" spans="5:5" x14ac:dyDescent="0.2">
      <c r="E2250" s="872"/>
    </row>
    <row r="2251" spans="5:5" x14ac:dyDescent="0.2">
      <c r="E2251" s="872"/>
    </row>
    <row r="2252" spans="5:5" x14ac:dyDescent="0.2">
      <c r="E2252" s="872"/>
    </row>
    <row r="2253" spans="5:5" x14ac:dyDescent="0.2">
      <c r="E2253" s="872"/>
    </row>
    <row r="2254" spans="5:5" x14ac:dyDescent="0.2">
      <c r="E2254" s="872"/>
    </row>
    <row r="2255" spans="5:5" x14ac:dyDescent="0.2">
      <c r="E2255" s="872"/>
    </row>
    <row r="2256" spans="5:5" x14ac:dyDescent="0.2">
      <c r="E2256" s="872"/>
    </row>
    <row r="2257" spans="5:5" x14ac:dyDescent="0.2">
      <c r="E2257" s="872"/>
    </row>
    <row r="2258" spans="5:5" x14ac:dyDescent="0.2">
      <c r="E2258" s="872"/>
    </row>
    <row r="2259" spans="5:5" x14ac:dyDescent="0.2">
      <c r="E2259" s="872"/>
    </row>
    <row r="2260" spans="5:5" x14ac:dyDescent="0.2">
      <c r="E2260" s="872"/>
    </row>
    <row r="2261" spans="5:5" x14ac:dyDescent="0.2">
      <c r="E2261" s="872"/>
    </row>
    <row r="2262" spans="5:5" x14ac:dyDescent="0.2">
      <c r="E2262" s="872"/>
    </row>
    <row r="2263" spans="5:5" x14ac:dyDescent="0.2">
      <c r="E2263" s="872"/>
    </row>
    <row r="2264" spans="5:5" x14ac:dyDescent="0.2">
      <c r="E2264" s="872"/>
    </row>
    <row r="2265" spans="5:5" x14ac:dyDescent="0.2">
      <c r="E2265" s="872"/>
    </row>
    <row r="2266" spans="5:5" x14ac:dyDescent="0.2">
      <c r="E2266" s="872"/>
    </row>
    <row r="2267" spans="5:5" x14ac:dyDescent="0.2">
      <c r="E2267" s="872"/>
    </row>
    <row r="2268" spans="5:5" x14ac:dyDescent="0.2">
      <c r="E2268" s="872"/>
    </row>
    <row r="2269" spans="5:5" x14ac:dyDescent="0.2">
      <c r="E2269" s="872"/>
    </row>
    <row r="2270" spans="5:5" x14ac:dyDescent="0.2">
      <c r="E2270" s="872"/>
    </row>
    <row r="2271" spans="5:5" x14ac:dyDescent="0.2">
      <c r="E2271" s="872"/>
    </row>
    <row r="2272" spans="5:5" x14ac:dyDescent="0.2">
      <c r="E2272" s="872"/>
    </row>
    <row r="2273" spans="5:5" x14ac:dyDescent="0.2">
      <c r="E2273" s="872"/>
    </row>
    <row r="2274" spans="5:5" x14ac:dyDescent="0.2">
      <c r="E2274" s="872"/>
    </row>
    <row r="2275" spans="5:5" x14ac:dyDescent="0.2">
      <c r="E2275" s="872"/>
    </row>
    <row r="2276" spans="5:5" x14ac:dyDescent="0.2">
      <c r="E2276" s="872"/>
    </row>
    <row r="2277" spans="5:5" x14ac:dyDescent="0.2">
      <c r="E2277" s="872"/>
    </row>
    <row r="2278" spans="5:5" x14ac:dyDescent="0.2">
      <c r="E2278" s="872"/>
    </row>
    <row r="2279" spans="5:5" x14ac:dyDescent="0.2">
      <c r="E2279" s="872"/>
    </row>
    <row r="2280" spans="5:5" x14ac:dyDescent="0.2">
      <c r="E2280" s="872"/>
    </row>
    <row r="2281" spans="5:5" x14ac:dyDescent="0.2">
      <c r="E2281" s="872"/>
    </row>
    <row r="2282" spans="5:5" x14ac:dyDescent="0.2">
      <c r="E2282" s="872"/>
    </row>
    <row r="2283" spans="5:5" x14ac:dyDescent="0.2">
      <c r="E2283" s="872"/>
    </row>
    <row r="2284" spans="5:5" x14ac:dyDescent="0.2">
      <c r="E2284" s="872"/>
    </row>
    <row r="2285" spans="5:5" x14ac:dyDescent="0.2">
      <c r="E2285" s="872"/>
    </row>
    <row r="2286" spans="5:5" x14ac:dyDescent="0.2">
      <c r="E2286" s="872"/>
    </row>
    <row r="2287" spans="5:5" x14ac:dyDescent="0.2">
      <c r="E2287" s="872"/>
    </row>
    <row r="2288" spans="5:5" x14ac:dyDescent="0.2">
      <c r="E2288" s="872"/>
    </row>
    <row r="2289" spans="5:5" x14ac:dyDescent="0.2">
      <c r="E2289" s="872"/>
    </row>
    <row r="2290" spans="5:5" x14ac:dyDescent="0.2">
      <c r="E2290" s="872"/>
    </row>
    <row r="2291" spans="5:5" x14ac:dyDescent="0.2">
      <c r="E2291" s="872"/>
    </row>
    <row r="2292" spans="5:5" x14ac:dyDescent="0.2">
      <c r="E2292" s="872"/>
    </row>
    <row r="2293" spans="5:5" x14ac:dyDescent="0.2">
      <c r="E2293" s="872"/>
    </row>
    <row r="2294" spans="5:5" x14ac:dyDescent="0.2">
      <c r="E2294" s="872"/>
    </row>
    <row r="2295" spans="5:5" x14ac:dyDescent="0.2">
      <c r="E2295" s="872"/>
    </row>
    <row r="2296" spans="5:5" x14ac:dyDescent="0.2">
      <c r="E2296" s="872"/>
    </row>
    <row r="2297" spans="5:5" x14ac:dyDescent="0.2">
      <c r="E2297" s="872"/>
    </row>
    <row r="2298" spans="5:5" x14ac:dyDescent="0.2">
      <c r="E2298" s="872"/>
    </row>
    <row r="2299" spans="5:5" x14ac:dyDescent="0.2">
      <c r="E2299" s="872"/>
    </row>
    <row r="2300" spans="5:5" x14ac:dyDescent="0.2">
      <c r="E2300" s="872"/>
    </row>
    <row r="2301" spans="5:5" x14ac:dyDescent="0.2">
      <c r="E2301" s="872"/>
    </row>
    <row r="2302" spans="5:5" x14ac:dyDescent="0.2">
      <c r="E2302" s="872"/>
    </row>
    <row r="2303" spans="5:5" x14ac:dyDescent="0.2">
      <c r="E2303" s="872"/>
    </row>
    <row r="2304" spans="5:5" x14ac:dyDescent="0.2">
      <c r="E2304" s="872"/>
    </row>
    <row r="2305" spans="5:5" x14ac:dyDescent="0.2">
      <c r="E2305" s="872"/>
    </row>
    <row r="2306" spans="5:5" x14ac:dyDescent="0.2">
      <c r="E2306" s="872"/>
    </row>
    <row r="2307" spans="5:5" x14ac:dyDescent="0.2">
      <c r="E2307" s="872"/>
    </row>
    <row r="2308" spans="5:5" x14ac:dyDescent="0.2">
      <c r="E2308" s="872"/>
    </row>
    <row r="2309" spans="5:5" x14ac:dyDescent="0.2">
      <c r="E2309" s="872"/>
    </row>
    <row r="2310" spans="5:5" x14ac:dyDescent="0.2">
      <c r="E2310" s="872"/>
    </row>
    <row r="2311" spans="5:5" x14ac:dyDescent="0.2">
      <c r="E2311" s="872"/>
    </row>
    <row r="2312" spans="5:5" x14ac:dyDescent="0.2">
      <c r="E2312" s="872"/>
    </row>
    <row r="2313" spans="5:5" x14ac:dyDescent="0.2">
      <c r="E2313" s="872"/>
    </row>
    <row r="2314" spans="5:5" x14ac:dyDescent="0.2">
      <c r="E2314" s="872"/>
    </row>
    <row r="2315" spans="5:5" x14ac:dyDescent="0.2">
      <c r="E2315" s="872"/>
    </row>
    <row r="2316" spans="5:5" x14ac:dyDescent="0.2">
      <c r="E2316" s="872"/>
    </row>
    <row r="2317" spans="5:5" x14ac:dyDescent="0.2">
      <c r="E2317" s="872"/>
    </row>
    <row r="2318" spans="5:5" x14ac:dyDescent="0.2">
      <c r="E2318" s="872"/>
    </row>
    <row r="2319" spans="5:5" x14ac:dyDescent="0.2">
      <c r="E2319" s="872"/>
    </row>
    <row r="2320" spans="5:5" x14ac:dyDescent="0.2">
      <c r="E2320" s="872"/>
    </row>
    <row r="2321" spans="5:5" x14ac:dyDescent="0.2">
      <c r="E2321" s="872"/>
    </row>
    <row r="2322" spans="5:5" x14ac:dyDescent="0.2">
      <c r="E2322" s="872"/>
    </row>
    <row r="2323" spans="5:5" x14ac:dyDescent="0.2">
      <c r="E2323" s="872"/>
    </row>
    <row r="2324" spans="5:5" x14ac:dyDescent="0.2">
      <c r="E2324" s="872"/>
    </row>
    <row r="2325" spans="5:5" x14ac:dyDescent="0.2">
      <c r="E2325" s="872"/>
    </row>
    <row r="2326" spans="5:5" x14ac:dyDescent="0.2">
      <c r="E2326" s="872"/>
    </row>
    <row r="2327" spans="5:5" x14ac:dyDescent="0.2">
      <c r="E2327" s="872"/>
    </row>
    <row r="2328" spans="5:5" x14ac:dyDescent="0.2">
      <c r="E2328" s="872"/>
    </row>
    <row r="2329" spans="5:5" x14ac:dyDescent="0.2">
      <c r="E2329" s="872"/>
    </row>
    <row r="2330" spans="5:5" x14ac:dyDescent="0.2">
      <c r="E2330" s="872"/>
    </row>
    <row r="2331" spans="5:5" x14ac:dyDescent="0.2">
      <c r="E2331" s="872"/>
    </row>
    <row r="2332" spans="5:5" x14ac:dyDescent="0.2">
      <c r="E2332" s="872"/>
    </row>
    <row r="2333" spans="5:5" x14ac:dyDescent="0.2">
      <c r="E2333" s="872"/>
    </row>
    <row r="2334" spans="5:5" x14ac:dyDescent="0.2">
      <c r="E2334" s="872"/>
    </row>
    <row r="2335" spans="5:5" x14ac:dyDescent="0.2">
      <c r="E2335" s="872"/>
    </row>
    <row r="2336" spans="5:5" x14ac:dyDescent="0.2">
      <c r="E2336" s="872"/>
    </row>
    <row r="2337" spans="5:5" x14ac:dyDescent="0.2">
      <c r="E2337" s="872"/>
    </row>
    <row r="2338" spans="5:5" x14ac:dyDescent="0.2">
      <c r="E2338" s="872"/>
    </row>
    <row r="2339" spans="5:5" x14ac:dyDescent="0.2">
      <c r="E2339" s="872"/>
    </row>
    <row r="2340" spans="5:5" x14ac:dyDescent="0.2">
      <c r="E2340" s="872"/>
    </row>
    <row r="2341" spans="5:5" x14ac:dyDescent="0.2">
      <c r="E2341" s="872"/>
    </row>
    <row r="2342" spans="5:5" x14ac:dyDescent="0.2">
      <c r="E2342" s="872"/>
    </row>
    <row r="2343" spans="5:5" x14ac:dyDescent="0.2">
      <c r="E2343" s="872"/>
    </row>
    <row r="2344" spans="5:5" x14ac:dyDescent="0.2">
      <c r="E2344" s="872"/>
    </row>
    <row r="2345" spans="5:5" x14ac:dyDescent="0.2">
      <c r="E2345" s="872"/>
    </row>
    <row r="2346" spans="5:5" x14ac:dyDescent="0.2">
      <c r="E2346" s="872"/>
    </row>
    <row r="2347" spans="5:5" x14ac:dyDescent="0.2">
      <c r="E2347" s="872"/>
    </row>
    <row r="2348" spans="5:5" x14ac:dyDescent="0.2">
      <c r="E2348" s="872"/>
    </row>
    <row r="2349" spans="5:5" x14ac:dyDescent="0.2">
      <c r="E2349" s="872"/>
    </row>
    <row r="2350" spans="5:5" x14ac:dyDescent="0.2">
      <c r="E2350" s="872"/>
    </row>
    <row r="2351" spans="5:5" x14ac:dyDescent="0.2">
      <c r="E2351" s="872"/>
    </row>
    <row r="2352" spans="5:5" x14ac:dyDescent="0.2">
      <c r="E2352" s="872"/>
    </row>
    <row r="2353" spans="5:5" x14ac:dyDescent="0.2">
      <c r="E2353" s="872"/>
    </row>
    <row r="2354" spans="5:5" x14ac:dyDescent="0.2">
      <c r="E2354" s="872"/>
    </row>
    <row r="2355" spans="5:5" x14ac:dyDescent="0.2">
      <c r="E2355" s="872"/>
    </row>
    <row r="2356" spans="5:5" x14ac:dyDescent="0.2">
      <c r="E2356" s="872"/>
    </row>
    <row r="2357" spans="5:5" x14ac:dyDescent="0.2">
      <c r="E2357" s="872"/>
    </row>
    <row r="2358" spans="5:5" x14ac:dyDescent="0.2">
      <c r="E2358" s="872"/>
    </row>
    <row r="2359" spans="5:5" x14ac:dyDescent="0.2">
      <c r="E2359" s="872"/>
    </row>
    <row r="2360" spans="5:5" x14ac:dyDescent="0.2">
      <c r="E2360" s="872"/>
    </row>
    <row r="2361" spans="5:5" x14ac:dyDescent="0.2">
      <c r="E2361" s="872"/>
    </row>
    <row r="2362" spans="5:5" x14ac:dyDescent="0.2">
      <c r="E2362" s="872"/>
    </row>
    <row r="2363" spans="5:5" x14ac:dyDescent="0.2">
      <c r="E2363" s="872"/>
    </row>
    <row r="2364" spans="5:5" x14ac:dyDescent="0.2">
      <c r="E2364" s="872"/>
    </row>
    <row r="2365" spans="5:5" x14ac:dyDescent="0.2">
      <c r="E2365" s="872"/>
    </row>
    <row r="2366" spans="5:5" x14ac:dyDescent="0.2">
      <c r="E2366" s="872"/>
    </row>
    <row r="2367" spans="5:5" x14ac:dyDescent="0.2">
      <c r="E2367" s="872"/>
    </row>
    <row r="2368" spans="5:5" x14ac:dyDescent="0.2">
      <c r="E2368" s="872"/>
    </row>
    <row r="2369" spans="5:5" x14ac:dyDescent="0.2">
      <c r="E2369" s="872"/>
    </row>
    <row r="2370" spans="5:5" x14ac:dyDescent="0.2">
      <c r="E2370" s="872"/>
    </row>
    <row r="2371" spans="5:5" x14ac:dyDescent="0.2">
      <c r="E2371" s="872"/>
    </row>
    <row r="2372" spans="5:5" x14ac:dyDescent="0.2">
      <c r="E2372" s="872"/>
    </row>
    <row r="2373" spans="5:5" x14ac:dyDescent="0.2">
      <c r="E2373" s="872"/>
    </row>
    <row r="2374" spans="5:5" x14ac:dyDescent="0.2">
      <c r="E2374" s="872"/>
    </row>
    <row r="2375" spans="5:5" x14ac:dyDescent="0.2">
      <c r="E2375" s="872"/>
    </row>
    <row r="2376" spans="5:5" x14ac:dyDescent="0.2">
      <c r="E2376" s="872"/>
    </row>
    <row r="2377" spans="5:5" x14ac:dyDescent="0.2">
      <c r="E2377" s="872"/>
    </row>
    <row r="2378" spans="5:5" x14ac:dyDescent="0.2">
      <c r="E2378" s="872"/>
    </row>
    <row r="2379" spans="5:5" x14ac:dyDescent="0.2">
      <c r="E2379" s="872"/>
    </row>
    <row r="2380" spans="5:5" x14ac:dyDescent="0.2">
      <c r="E2380" s="872"/>
    </row>
    <row r="2381" spans="5:5" x14ac:dyDescent="0.2">
      <c r="E2381" s="872"/>
    </row>
    <row r="2382" spans="5:5" x14ac:dyDescent="0.2">
      <c r="E2382" s="872"/>
    </row>
    <row r="2383" spans="5:5" x14ac:dyDescent="0.2">
      <c r="E2383" s="872"/>
    </row>
    <row r="2384" spans="5:5" x14ac:dyDescent="0.2">
      <c r="E2384" s="872"/>
    </row>
    <row r="2385" spans="5:5" x14ac:dyDescent="0.2">
      <c r="E2385" s="872"/>
    </row>
    <row r="2386" spans="5:5" x14ac:dyDescent="0.2">
      <c r="E2386" s="872"/>
    </row>
    <row r="2387" spans="5:5" x14ac:dyDescent="0.2">
      <c r="E2387" s="872"/>
    </row>
    <row r="2388" spans="5:5" x14ac:dyDescent="0.2">
      <c r="E2388" s="872"/>
    </row>
    <row r="2389" spans="5:5" x14ac:dyDescent="0.2">
      <c r="E2389" s="872"/>
    </row>
    <row r="2390" spans="5:5" x14ac:dyDescent="0.2">
      <c r="E2390" s="872"/>
    </row>
    <row r="2391" spans="5:5" x14ac:dyDescent="0.2">
      <c r="E2391" s="872"/>
    </row>
    <row r="2392" spans="5:5" x14ac:dyDescent="0.2">
      <c r="E2392" s="872"/>
    </row>
    <row r="2393" spans="5:5" x14ac:dyDescent="0.2">
      <c r="E2393" s="872"/>
    </row>
    <row r="2394" spans="5:5" x14ac:dyDescent="0.2">
      <c r="E2394" s="872"/>
    </row>
    <row r="2395" spans="5:5" x14ac:dyDescent="0.2">
      <c r="E2395" s="872"/>
    </row>
    <row r="2396" spans="5:5" x14ac:dyDescent="0.2">
      <c r="E2396" s="872"/>
    </row>
    <row r="2397" spans="5:5" x14ac:dyDescent="0.2">
      <c r="E2397" s="872"/>
    </row>
    <row r="2398" spans="5:5" x14ac:dyDescent="0.2">
      <c r="E2398" s="872"/>
    </row>
    <row r="2399" spans="5:5" x14ac:dyDescent="0.2">
      <c r="E2399" s="872"/>
    </row>
    <row r="2400" spans="5:5" x14ac:dyDescent="0.2">
      <c r="E2400" s="872"/>
    </row>
    <row r="2401" spans="5:5" x14ac:dyDescent="0.2">
      <c r="E2401" s="872"/>
    </row>
    <row r="2402" spans="5:5" x14ac:dyDescent="0.2">
      <c r="E2402" s="872"/>
    </row>
    <row r="2403" spans="5:5" x14ac:dyDescent="0.2">
      <c r="E2403" s="872"/>
    </row>
    <row r="2404" spans="5:5" x14ac:dyDescent="0.2">
      <c r="E2404" s="872"/>
    </row>
    <row r="2405" spans="5:5" x14ac:dyDescent="0.2">
      <c r="E2405" s="872"/>
    </row>
    <row r="2406" spans="5:5" x14ac:dyDescent="0.2">
      <c r="E2406" s="872"/>
    </row>
    <row r="2407" spans="5:5" x14ac:dyDescent="0.2">
      <c r="E2407" s="872"/>
    </row>
    <row r="2408" spans="5:5" x14ac:dyDescent="0.2">
      <c r="E2408" s="872"/>
    </row>
    <row r="2409" spans="5:5" x14ac:dyDescent="0.2">
      <c r="E2409" s="872"/>
    </row>
    <row r="2410" spans="5:5" x14ac:dyDescent="0.2">
      <c r="E2410" s="872"/>
    </row>
    <row r="2411" spans="5:5" x14ac:dyDescent="0.2">
      <c r="E2411" s="872"/>
    </row>
    <row r="2412" spans="5:5" x14ac:dyDescent="0.2">
      <c r="E2412" s="872"/>
    </row>
    <row r="2413" spans="5:5" x14ac:dyDescent="0.2">
      <c r="E2413" s="872"/>
    </row>
    <row r="2414" spans="5:5" x14ac:dyDescent="0.2">
      <c r="E2414" s="872"/>
    </row>
    <row r="2415" spans="5:5" x14ac:dyDescent="0.2">
      <c r="E2415" s="872"/>
    </row>
    <row r="2416" spans="5:5" x14ac:dyDescent="0.2">
      <c r="E2416" s="872"/>
    </row>
    <row r="2417" spans="5:5" x14ac:dyDescent="0.2">
      <c r="E2417" s="872"/>
    </row>
    <row r="2418" spans="5:5" x14ac:dyDescent="0.2">
      <c r="E2418" s="872"/>
    </row>
    <row r="2419" spans="5:5" x14ac:dyDescent="0.2">
      <c r="E2419" s="872"/>
    </row>
    <row r="2420" spans="5:5" x14ac:dyDescent="0.2">
      <c r="E2420" s="872"/>
    </row>
    <row r="2421" spans="5:5" x14ac:dyDescent="0.2">
      <c r="E2421" s="872"/>
    </row>
    <row r="2422" spans="5:5" x14ac:dyDescent="0.2">
      <c r="E2422" s="872"/>
    </row>
    <row r="2423" spans="5:5" x14ac:dyDescent="0.2">
      <c r="E2423" s="872"/>
    </row>
    <row r="2424" spans="5:5" x14ac:dyDescent="0.2">
      <c r="E2424" s="872"/>
    </row>
    <row r="2425" spans="5:5" x14ac:dyDescent="0.2">
      <c r="E2425" s="872"/>
    </row>
    <row r="2426" spans="5:5" x14ac:dyDescent="0.2">
      <c r="E2426" s="872"/>
    </row>
    <row r="2427" spans="5:5" x14ac:dyDescent="0.2">
      <c r="E2427" s="872"/>
    </row>
    <row r="2428" spans="5:5" x14ac:dyDescent="0.2">
      <c r="E2428" s="872"/>
    </row>
    <row r="2429" spans="5:5" x14ac:dyDescent="0.2">
      <c r="E2429" s="872"/>
    </row>
    <row r="2430" spans="5:5" x14ac:dyDescent="0.2">
      <c r="E2430" s="872"/>
    </row>
    <row r="2431" spans="5:5" x14ac:dyDescent="0.2">
      <c r="E2431" s="872"/>
    </row>
    <row r="2432" spans="5:5" x14ac:dyDescent="0.2">
      <c r="E2432" s="872"/>
    </row>
    <row r="2433" spans="5:5" x14ac:dyDescent="0.2">
      <c r="E2433" s="872"/>
    </row>
    <row r="2434" spans="5:5" x14ac:dyDescent="0.2">
      <c r="E2434" s="872"/>
    </row>
    <row r="2435" spans="5:5" x14ac:dyDescent="0.2">
      <c r="E2435" s="872"/>
    </row>
    <row r="2436" spans="5:5" x14ac:dyDescent="0.2">
      <c r="E2436" s="872"/>
    </row>
    <row r="2437" spans="5:5" x14ac:dyDescent="0.2">
      <c r="E2437" s="872"/>
    </row>
    <row r="2438" spans="5:5" x14ac:dyDescent="0.2">
      <c r="E2438" s="872"/>
    </row>
    <row r="2439" spans="5:5" x14ac:dyDescent="0.2">
      <c r="E2439" s="872"/>
    </row>
    <row r="2440" spans="5:5" x14ac:dyDescent="0.2">
      <c r="E2440" s="872"/>
    </row>
    <row r="2441" spans="5:5" x14ac:dyDescent="0.2">
      <c r="E2441" s="872"/>
    </row>
    <row r="2442" spans="5:5" x14ac:dyDescent="0.2">
      <c r="E2442" s="872"/>
    </row>
    <row r="2443" spans="5:5" x14ac:dyDescent="0.2">
      <c r="E2443" s="872"/>
    </row>
    <row r="2444" spans="5:5" x14ac:dyDescent="0.2">
      <c r="E2444" s="872"/>
    </row>
    <row r="2445" spans="5:5" x14ac:dyDescent="0.2">
      <c r="E2445" s="872"/>
    </row>
    <row r="2446" spans="5:5" x14ac:dyDescent="0.2">
      <c r="E2446" s="872"/>
    </row>
    <row r="2447" spans="5:5" x14ac:dyDescent="0.2">
      <c r="E2447" s="872"/>
    </row>
    <row r="2448" spans="5:5" x14ac:dyDescent="0.2">
      <c r="E2448" s="872"/>
    </row>
    <row r="2449" spans="5:5" x14ac:dyDescent="0.2">
      <c r="E2449" s="872"/>
    </row>
    <row r="2450" spans="5:5" x14ac:dyDescent="0.2">
      <c r="E2450" s="872"/>
    </row>
    <row r="2451" spans="5:5" x14ac:dyDescent="0.2">
      <c r="E2451" s="872"/>
    </row>
    <row r="2452" spans="5:5" x14ac:dyDescent="0.2">
      <c r="E2452" s="872"/>
    </row>
    <row r="2453" spans="5:5" x14ac:dyDescent="0.2">
      <c r="E2453" s="872"/>
    </row>
    <row r="2454" spans="5:5" x14ac:dyDescent="0.2">
      <c r="E2454" s="872"/>
    </row>
    <row r="2455" spans="5:5" x14ac:dyDescent="0.2">
      <c r="E2455" s="872"/>
    </row>
    <row r="2456" spans="5:5" x14ac:dyDescent="0.2">
      <c r="E2456" s="872"/>
    </row>
    <row r="2457" spans="5:5" x14ac:dyDescent="0.2">
      <c r="E2457" s="872"/>
    </row>
    <row r="2458" spans="5:5" x14ac:dyDescent="0.2">
      <c r="E2458" s="872"/>
    </row>
    <row r="2459" spans="5:5" x14ac:dyDescent="0.2">
      <c r="E2459" s="872"/>
    </row>
    <row r="2460" spans="5:5" x14ac:dyDescent="0.2">
      <c r="E2460" s="872"/>
    </row>
    <row r="2461" spans="5:5" x14ac:dyDescent="0.2">
      <c r="E2461" s="872"/>
    </row>
    <row r="2462" spans="5:5" x14ac:dyDescent="0.2">
      <c r="E2462" s="872"/>
    </row>
    <row r="2463" spans="5:5" x14ac:dyDescent="0.2">
      <c r="E2463" s="872"/>
    </row>
    <row r="2464" spans="5:5" x14ac:dyDescent="0.2">
      <c r="E2464" s="872"/>
    </row>
    <row r="2465" spans="5:5" x14ac:dyDescent="0.2">
      <c r="E2465" s="872"/>
    </row>
    <row r="2466" spans="5:5" x14ac:dyDescent="0.2">
      <c r="E2466" s="872"/>
    </row>
    <row r="2467" spans="5:5" x14ac:dyDescent="0.2">
      <c r="E2467" s="872"/>
    </row>
    <row r="2468" spans="5:5" x14ac:dyDescent="0.2">
      <c r="E2468" s="872"/>
    </row>
    <row r="2469" spans="5:5" x14ac:dyDescent="0.2">
      <c r="E2469" s="872"/>
    </row>
    <row r="2470" spans="5:5" x14ac:dyDescent="0.2">
      <c r="E2470" s="872"/>
    </row>
    <row r="2471" spans="5:5" x14ac:dyDescent="0.2">
      <c r="E2471" s="872"/>
    </row>
    <row r="2472" spans="5:5" x14ac:dyDescent="0.2">
      <c r="E2472" s="872"/>
    </row>
    <row r="2473" spans="5:5" x14ac:dyDescent="0.2">
      <c r="E2473" s="872"/>
    </row>
    <row r="2474" spans="5:5" x14ac:dyDescent="0.2">
      <c r="E2474" s="872"/>
    </row>
    <row r="2475" spans="5:5" x14ac:dyDescent="0.2">
      <c r="E2475" s="872"/>
    </row>
    <row r="2476" spans="5:5" x14ac:dyDescent="0.2">
      <c r="E2476" s="872"/>
    </row>
    <row r="2477" spans="5:5" x14ac:dyDescent="0.2">
      <c r="E2477" s="872"/>
    </row>
    <row r="2478" spans="5:5" x14ac:dyDescent="0.2">
      <c r="E2478" s="872"/>
    </row>
    <row r="2479" spans="5:5" x14ac:dyDescent="0.2">
      <c r="E2479" s="872"/>
    </row>
    <row r="2480" spans="5:5" x14ac:dyDescent="0.2">
      <c r="E2480" s="872"/>
    </row>
    <row r="2481" spans="5:5" x14ac:dyDescent="0.2">
      <c r="E2481" s="872"/>
    </row>
    <row r="2482" spans="5:5" x14ac:dyDescent="0.2">
      <c r="E2482" s="872"/>
    </row>
    <row r="2483" spans="5:5" x14ac:dyDescent="0.2">
      <c r="E2483" s="872"/>
    </row>
    <row r="2484" spans="5:5" x14ac:dyDescent="0.2">
      <c r="E2484" s="872"/>
    </row>
    <row r="2485" spans="5:5" x14ac:dyDescent="0.2">
      <c r="E2485" s="872"/>
    </row>
    <row r="2486" spans="5:5" x14ac:dyDescent="0.2">
      <c r="E2486" s="872"/>
    </row>
    <row r="2487" spans="5:5" x14ac:dyDescent="0.2">
      <c r="E2487" s="872"/>
    </row>
    <row r="2488" spans="5:5" x14ac:dyDescent="0.2">
      <c r="E2488" s="872"/>
    </row>
    <row r="2489" spans="5:5" x14ac:dyDescent="0.2">
      <c r="E2489" s="872"/>
    </row>
    <row r="2490" spans="5:5" x14ac:dyDescent="0.2">
      <c r="E2490" s="872"/>
    </row>
    <row r="2491" spans="5:5" x14ac:dyDescent="0.2">
      <c r="E2491" s="872"/>
    </row>
    <row r="2492" spans="5:5" x14ac:dyDescent="0.2">
      <c r="E2492" s="872"/>
    </row>
    <row r="2493" spans="5:5" x14ac:dyDescent="0.2">
      <c r="E2493" s="872"/>
    </row>
    <row r="2494" spans="5:5" x14ac:dyDescent="0.2">
      <c r="E2494" s="872"/>
    </row>
    <row r="2495" spans="5:5" x14ac:dyDescent="0.2">
      <c r="E2495" s="872"/>
    </row>
    <row r="2496" spans="5:5" x14ac:dyDescent="0.2">
      <c r="E2496" s="872"/>
    </row>
    <row r="2497" spans="5:5" x14ac:dyDescent="0.2">
      <c r="E2497" s="872"/>
    </row>
    <row r="2498" spans="5:5" x14ac:dyDescent="0.2">
      <c r="E2498" s="872"/>
    </row>
    <row r="2499" spans="5:5" x14ac:dyDescent="0.2">
      <c r="E2499" s="872"/>
    </row>
    <row r="2500" spans="5:5" x14ac:dyDescent="0.2">
      <c r="E2500" s="872"/>
    </row>
    <row r="2501" spans="5:5" x14ac:dyDescent="0.2">
      <c r="E2501" s="872"/>
    </row>
    <row r="2502" spans="5:5" x14ac:dyDescent="0.2">
      <c r="E2502" s="872"/>
    </row>
    <row r="2503" spans="5:5" x14ac:dyDescent="0.2">
      <c r="E2503" s="872"/>
    </row>
    <row r="2504" spans="5:5" x14ac:dyDescent="0.2">
      <c r="E2504" s="872"/>
    </row>
    <row r="2505" spans="5:5" x14ac:dyDescent="0.2">
      <c r="E2505" s="872"/>
    </row>
    <row r="2506" spans="5:5" x14ac:dyDescent="0.2">
      <c r="E2506" s="872"/>
    </row>
    <row r="2507" spans="5:5" x14ac:dyDescent="0.2">
      <c r="E2507" s="872"/>
    </row>
    <row r="2508" spans="5:5" x14ac:dyDescent="0.2">
      <c r="E2508" s="872"/>
    </row>
    <row r="2509" spans="5:5" x14ac:dyDescent="0.2">
      <c r="E2509" s="872"/>
    </row>
    <row r="2510" spans="5:5" x14ac:dyDescent="0.2">
      <c r="E2510" s="872"/>
    </row>
    <row r="2511" spans="5:5" x14ac:dyDescent="0.2">
      <c r="E2511" s="872"/>
    </row>
    <row r="2512" spans="5:5" x14ac:dyDescent="0.2">
      <c r="E2512" s="872"/>
    </row>
    <row r="2513" spans="5:5" x14ac:dyDescent="0.2">
      <c r="E2513" s="872"/>
    </row>
    <row r="2514" spans="5:5" x14ac:dyDescent="0.2">
      <c r="E2514" s="872"/>
    </row>
    <row r="2515" spans="5:5" x14ac:dyDescent="0.2">
      <c r="E2515" s="872"/>
    </row>
    <row r="2516" spans="5:5" x14ac:dyDescent="0.2">
      <c r="E2516" s="872"/>
    </row>
    <row r="2517" spans="5:5" x14ac:dyDescent="0.2">
      <c r="E2517" s="872"/>
    </row>
    <row r="2518" spans="5:5" x14ac:dyDescent="0.2">
      <c r="E2518" s="872"/>
    </row>
    <row r="2519" spans="5:5" x14ac:dyDescent="0.2">
      <c r="E2519" s="872"/>
    </row>
    <row r="2520" spans="5:5" x14ac:dyDescent="0.2">
      <c r="E2520" s="872"/>
    </row>
    <row r="2521" spans="5:5" x14ac:dyDescent="0.2">
      <c r="E2521" s="872"/>
    </row>
    <row r="2522" spans="5:5" x14ac:dyDescent="0.2">
      <c r="E2522" s="872"/>
    </row>
    <row r="2523" spans="5:5" x14ac:dyDescent="0.2">
      <c r="E2523" s="872"/>
    </row>
    <row r="2524" spans="5:5" x14ac:dyDescent="0.2">
      <c r="E2524" s="872"/>
    </row>
    <row r="2525" spans="5:5" x14ac:dyDescent="0.2">
      <c r="E2525" s="872"/>
    </row>
    <row r="2526" spans="5:5" x14ac:dyDescent="0.2">
      <c r="E2526" s="872"/>
    </row>
    <row r="2527" spans="5:5" x14ac:dyDescent="0.2">
      <c r="E2527" s="872"/>
    </row>
    <row r="2528" spans="5:5" x14ac:dyDescent="0.2">
      <c r="E2528" s="872"/>
    </row>
    <row r="2529" spans="5:5" x14ac:dyDescent="0.2">
      <c r="E2529" s="872"/>
    </row>
    <row r="2530" spans="5:5" x14ac:dyDescent="0.2">
      <c r="E2530" s="872"/>
    </row>
    <row r="2531" spans="5:5" x14ac:dyDescent="0.2">
      <c r="E2531" s="872"/>
    </row>
    <row r="2532" spans="5:5" x14ac:dyDescent="0.2">
      <c r="E2532" s="872"/>
    </row>
    <row r="2533" spans="5:5" x14ac:dyDescent="0.2">
      <c r="E2533" s="872"/>
    </row>
    <row r="2534" spans="5:5" x14ac:dyDescent="0.2">
      <c r="E2534" s="872"/>
    </row>
    <row r="2535" spans="5:5" x14ac:dyDescent="0.2">
      <c r="E2535" s="872"/>
    </row>
    <row r="2536" spans="5:5" x14ac:dyDescent="0.2">
      <c r="E2536" s="872"/>
    </row>
    <row r="2537" spans="5:5" x14ac:dyDescent="0.2">
      <c r="E2537" s="872"/>
    </row>
    <row r="2538" spans="5:5" x14ac:dyDescent="0.2">
      <c r="E2538" s="872"/>
    </row>
    <row r="2539" spans="5:5" x14ac:dyDescent="0.2">
      <c r="E2539" s="872"/>
    </row>
    <row r="2540" spans="5:5" x14ac:dyDescent="0.2">
      <c r="E2540" s="872"/>
    </row>
    <row r="2541" spans="5:5" x14ac:dyDescent="0.2">
      <c r="E2541" s="872"/>
    </row>
    <row r="2542" spans="5:5" x14ac:dyDescent="0.2">
      <c r="E2542" s="872"/>
    </row>
    <row r="2543" spans="5:5" x14ac:dyDescent="0.2">
      <c r="E2543" s="872"/>
    </row>
    <row r="2544" spans="5:5" x14ac:dyDescent="0.2">
      <c r="E2544" s="872"/>
    </row>
    <row r="2545" spans="5:5" x14ac:dyDescent="0.2">
      <c r="E2545" s="872"/>
    </row>
    <row r="2546" spans="5:5" x14ac:dyDescent="0.2">
      <c r="E2546" s="872"/>
    </row>
    <row r="2547" spans="5:5" x14ac:dyDescent="0.2">
      <c r="E2547" s="872"/>
    </row>
    <row r="2548" spans="5:5" x14ac:dyDescent="0.2">
      <c r="E2548" s="872"/>
    </row>
    <row r="2549" spans="5:5" x14ac:dyDescent="0.2">
      <c r="E2549" s="872"/>
    </row>
    <row r="2550" spans="5:5" x14ac:dyDescent="0.2">
      <c r="E2550" s="872"/>
    </row>
    <row r="2551" spans="5:5" x14ac:dyDescent="0.2">
      <c r="E2551" s="872"/>
    </row>
    <row r="2552" spans="5:5" x14ac:dyDescent="0.2">
      <c r="E2552" s="872"/>
    </row>
    <row r="2553" spans="5:5" x14ac:dyDescent="0.2">
      <c r="E2553" s="872"/>
    </row>
    <row r="2554" spans="5:5" x14ac:dyDescent="0.2">
      <c r="E2554" s="872"/>
    </row>
    <row r="2555" spans="5:5" x14ac:dyDescent="0.2">
      <c r="E2555" s="872"/>
    </row>
    <row r="2556" spans="5:5" x14ac:dyDescent="0.2">
      <c r="E2556" s="872"/>
    </row>
    <row r="2557" spans="5:5" x14ac:dyDescent="0.2">
      <c r="E2557" s="872"/>
    </row>
    <row r="2558" spans="5:5" x14ac:dyDescent="0.2">
      <c r="E2558" s="872"/>
    </row>
    <row r="2559" spans="5:5" x14ac:dyDescent="0.2">
      <c r="E2559" s="872"/>
    </row>
    <row r="2560" spans="5:5" x14ac:dyDescent="0.2">
      <c r="E2560" s="872"/>
    </row>
    <row r="2561" spans="5:5" x14ac:dyDescent="0.2">
      <c r="E2561" s="872"/>
    </row>
    <row r="2562" spans="5:5" x14ac:dyDescent="0.2">
      <c r="E2562" s="872"/>
    </row>
    <row r="2563" spans="5:5" x14ac:dyDescent="0.2">
      <c r="E2563" s="872"/>
    </row>
    <row r="2564" spans="5:5" x14ac:dyDescent="0.2">
      <c r="E2564" s="872"/>
    </row>
    <row r="2565" spans="5:5" x14ac:dyDescent="0.2">
      <c r="E2565" s="872"/>
    </row>
    <row r="2566" spans="5:5" x14ac:dyDescent="0.2">
      <c r="E2566" s="872"/>
    </row>
    <row r="2567" spans="5:5" x14ac:dyDescent="0.2">
      <c r="E2567" s="872"/>
    </row>
    <row r="2568" spans="5:5" x14ac:dyDescent="0.2">
      <c r="E2568" s="872"/>
    </row>
    <row r="2569" spans="5:5" x14ac:dyDescent="0.2">
      <c r="E2569" s="872"/>
    </row>
    <row r="2570" spans="5:5" x14ac:dyDescent="0.2">
      <c r="E2570" s="872"/>
    </row>
    <row r="2571" spans="5:5" x14ac:dyDescent="0.2">
      <c r="E2571" s="872"/>
    </row>
    <row r="2572" spans="5:5" x14ac:dyDescent="0.2">
      <c r="E2572" s="872"/>
    </row>
    <row r="2573" spans="5:5" x14ac:dyDescent="0.2">
      <c r="E2573" s="872"/>
    </row>
    <row r="2574" spans="5:5" x14ac:dyDescent="0.2">
      <c r="E2574" s="872"/>
    </row>
    <row r="2575" spans="5:5" x14ac:dyDescent="0.2">
      <c r="E2575" s="872"/>
    </row>
    <row r="2576" spans="5:5" x14ac:dyDescent="0.2">
      <c r="E2576" s="872"/>
    </row>
    <row r="2577" spans="5:5" x14ac:dyDescent="0.2">
      <c r="E2577" s="872"/>
    </row>
    <row r="2578" spans="5:5" x14ac:dyDescent="0.2">
      <c r="E2578" s="872"/>
    </row>
    <row r="2579" spans="5:5" x14ac:dyDescent="0.2">
      <c r="E2579" s="872"/>
    </row>
    <row r="2580" spans="5:5" x14ac:dyDescent="0.2">
      <c r="E2580" s="872"/>
    </row>
    <row r="2581" spans="5:5" x14ac:dyDescent="0.2">
      <c r="E2581" s="872"/>
    </row>
    <row r="2582" spans="5:5" x14ac:dyDescent="0.2">
      <c r="E2582" s="872"/>
    </row>
    <row r="2583" spans="5:5" x14ac:dyDescent="0.2">
      <c r="E2583" s="872"/>
    </row>
    <row r="2584" spans="5:5" x14ac:dyDescent="0.2">
      <c r="E2584" s="872"/>
    </row>
    <row r="2585" spans="5:5" x14ac:dyDescent="0.2">
      <c r="E2585" s="872"/>
    </row>
    <row r="2586" spans="5:5" x14ac:dyDescent="0.2">
      <c r="E2586" s="872"/>
    </row>
    <row r="2587" spans="5:5" x14ac:dyDescent="0.2">
      <c r="E2587" s="872"/>
    </row>
    <row r="2588" spans="5:5" x14ac:dyDescent="0.2">
      <c r="E2588" s="872"/>
    </row>
    <row r="2589" spans="5:5" x14ac:dyDescent="0.2">
      <c r="E2589" s="872"/>
    </row>
    <row r="2590" spans="5:5" x14ac:dyDescent="0.2">
      <c r="E2590" s="872"/>
    </row>
    <row r="2591" spans="5:5" x14ac:dyDescent="0.2">
      <c r="E2591" s="872"/>
    </row>
    <row r="2592" spans="5:5" x14ac:dyDescent="0.2">
      <c r="E2592" s="872"/>
    </row>
    <row r="2593" spans="5:5" x14ac:dyDescent="0.2">
      <c r="E2593" s="872"/>
    </row>
    <row r="2594" spans="5:5" x14ac:dyDescent="0.2">
      <c r="E2594" s="872"/>
    </row>
    <row r="2595" spans="5:5" x14ac:dyDescent="0.2">
      <c r="E2595" s="872"/>
    </row>
    <row r="2596" spans="5:5" x14ac:dyDescent="0.2">
      <c r="E2596" s="872"/>
    </row>
    <row r="2597" spans="5:5" x14ac:dyDescent="0.2">
      <c r="E2597" s="872"/>
    </row>
    <row r="2598" spans="5:5" x14ac:dyDescent="0.2">
      <c r="E2598" s="872"/>
    </row>
    <row r="2599" spans="5:5" x14ac:dyDescent="0.2">
      <c r="E2599" s="872"/>
    </row>
    <row r="2600" spans="5:5" x14ac:dyDescent="0.2">
      <c r="E2600" s="872"/>
    </row>
    <row r="2601" spans="5:5" x14ac:dyDescent="0.2">
      <c r="E2601" s="872"/>
    </row>
    <row r="2602" spans="5:5" x14ac:dyDescent="0.2">
      <c r="E2602" s="872"/>
    </row>
    <row r="2603" spans="5:5" x14ac:dyDescent="0.2">
      <c r="E2603" s="872"/>
    </row>
    <row r="2604" spans="5:5" x14ac:dyDescent="0.2">
      <c r="E2604" s="872"/>
    </row>
    <row r="2605" spans="5:5" x14ac:dyDescent="0.2">
      <c r="E2605" s="872"/>
    </row>
    <row r="2606" spans="5:5" x14ac:dyDescent="0.2">
      <c r="E2606" s="872"/>
    </row>
    <row r="2607" spans="5:5" x14ac:dyDescent="0.2">
      <c r="E2607" s="872"/>
    </row>
    <row r="2608" spans="5:5" x14ac:dyDescent="0.2">
      <c r="E2608" s="872"/>
    </row>
    <row r="2609" spans="5:5" x14ac:dyDescent="0.2">
      <c r="E2609" s="872"/>
    </row>
    <row r="2610" spans="5:5" x14ac:dyDescent="0.2">
      <c r="E2610" s="872"/>
    </row>
    <row r="2611" spans="5:5" x14ac:dyDescent="0.2">
      <c r="E2611" s="872"/>
    </row>
    <row r="2612" spans="5:5" x14ac:dyDescent="0.2">
      <c r="E2612" s="872"/>
    </row>
    <row r="2613" spans="5:5" x14ac:dyDescent="0.2">
      <c r="E2613" s="872"/>
    </row>
    <row r="2614" spans="5:5" x14ac:dyDescent="0.2">
      <c r="E2614" s="872"/>
    </row>
    <row r="2615" spans="5:5" x14ac:dyDescent="0.2">
      <c r="E2615" s="872"/>
    </row>
    <row r="2616" spans="5:5" x14ac:dyDescent="0.2">
      <c r="E2616" s="872"/>
    </row>
    <row r="2617" spans="5:5" x14ac:dyDescent="0.2">
      <c r="E2617" s="872"/>
    </row>
    <row r="2618" spans="5:5" x14ac:dyDescent="0.2">
      <c r="E2618" s="872"/>
    </row>
    <row r="2619" spans="5:5" x14ac:dyDescent="0.2">
      <c r="E2619" s="872"/>
    </row>
    <row r="2620" spans="5:5" x14ac:dyDescent="0.2">
      <c r="E2620" s="872"/>
    </row>
    <row r="2621" spans="5:5" x14ac:dyDescent="0.2">
      <c r="E2621" s="872"/>
    </row>
    <row r="2622" spans="5:5" x14ac:dyDescent="0.2">
      <c r="E2622" s="872"/>
    </row>
    <row r="2623" spans="5:5" x14ac:dyDescent="0.2">
      <c r="E2623" s="872"/>
    </row>
    <row r="2624" spans="5:5" x14ac:dyDescent="0.2">
      <c r="E2624" s="872"/>
    </row>
    <row r="2625" spans="5:5" x14ac:dyDescent="0.2">
      <c r="E2625" s="872"/>
    </row>
    <row r="2626" spans="5:5" x14ac:dyDescent="0.2">
      <c r="E2626" s="872"/>
    </row>
    <row r="2627" spans="5:5" x14ac:dyDescent="0.2">
      <c r="E2627" s="872"/>
    </row>
    <row r="2628" spans="5:5" x14ac:dyDescent="0.2">
      <c r="E2628" s="872"/>
    </row>
    <row r="2629" spans="5:5" x14ac:dyDescent="0.2">
      <c r="E2629" s="872"/>
    </row>
    <row r="2630" spans="5:5" x14ac:dyDescent="0.2">
      <c r="E2630" s="872"/>
    </row>
    <row r="2631" spans="5:5" x14ac:dyDescent="0.2">
      <c r="E2631" s="872"/>
    </row>
    <row r="2632" spans="5:5" x14ac:dyDescent="0.2">
      <c r="E2632" s="872"/>
    </row>
    <row r="2633" spans="5:5" x14ac:dyDescent="0.2">
      <c r="E2633" s="872"/>
    </row>
    <row r="2634" spans="5:5" x14ac:dyDescent="0.2">
      <c r="E2634" s="872"/>
    </row>
    <row r="2635" spans="5:5" x14ac:dyDescent="0.2">
      <c r="E2635" s="872"/>
    </row>
    <row r="2636" spans="5:5" x14ac:dyDescent="0.2">
      <c r="E2636" s="872"/>
    </row>
    <row r="2637" spans="5:5" x14ac:dyDescent="0.2">
      <c r="E2637" s="872"/>
    </row>
    <row r="2638" spans="5:5" x14ac:dyDescent="0.2">
      <c r="E2638" s="872"/>
    </row>
    <row r="2639" spans="5:5" x14ac:dyDescent="0.2">
      <c r="E2639" s="872"/>
    </row>
    <row r="2640" spans="5:5" x14ac:dyDescent="0.2">
      <c r="E2640" s="872"/>
    </row>
    <row r="2641" spans="5:5" x14ac:dyDescent="0.2">
      <c r="E2641" s="872"/>
    </row>
    <row r="2642" spans="5:5" x14ac:dyDescent="0.2">
      <c r="E2642" s="872"/>
    </row>
    <row r="2643" spans="5:5" x14ac:dyDescent="0.2">
      <c r="E2643" s="872"/>
    </row>
    <row r="2644" spans="5:5" x14ac:dyDescent="0.2">
      <c r="E2644" s="872"/>
    </row>
    <row r="2645" spans="5:5" x14ac:dyDescent="0.2">
      <c r="E2645" s="872"/>
    </row>
    <row r="2646" spans="5:5" x14ac:dyDescent="0.2">
      <c r="E2646" s="872"/>
    </row>
    <row r="2647" spans="5:5" x14ac:dyDescent="0.2">
      <c r="E2647" s="872"/>
    </row>
    <row r="2648" spans="5:5" x14ac:dyDescent="0.2">
      <c r="E2648" s="872"/>
    </row>
    <row r="2649" spans="5:5" x14ac:dyDescent="0.2">
      <c r="E2649" s="872"/>
    </row>
    <row r="2650" spans="5:5" x14ac:dyDescent="0.2">
      <c r="E2650" s="872"/>
    </row>
    <row r="2651" spans="5:5" x14ac:dyDescent="0.2">
      <c r="E2651" s="872"/>
    </row>
  </sheetData>
  <sheetProtection formatCells="0" formatColumns="0" formatRows="0" autoFilter="0"/>
  <autoFilter ref="A1:F616" xr:uid="{00000000-0001-0000-1E00-000000000000}"/>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1">
    <tabColor theme="5"/>
  </sheetPr>
  <dimension ref="A1:G100"/>
  <sheetViews>
    <sheetView zoomScale="80" zoomScaleNormal="80" workbookViewId="0"/>
  </sheetViews>
  <sheetFormatPr defaultRowHeight="13.8" x14ac:dyDescent="0.25"/>
  <cols>
    <col min="1" max="1" width="34" customWidth="1"/>
    <col min="2" max="2" width="22.6328125" style="1" customWidth="1"/>
    <col min="3" max="3" width="5.6328125" customWidth="1"/>
    <col min="4" max="6" width="30.6328125" style="550" customWidth="1"/>
    <col min="7" max="7" width="23.453125" customWidth="1"/>
  </cols>
  <sheetData>
    <row r="1" spans="1:7" x14ac:dyDescent="0.25">
      <c r="A1" s="24" t="s">
        <v>844</v>
      </c>
      <c r="B1" s="76">
        <f>MATCH(Summary!H7,Languages!1:1,0)</f>
        <v>3</v>
      </c>
    </row>
    <row r="2" spans="1:7" x14ac:dyDescent="0.25">
      <c r="A2" s="24" t="s">
        <v>845</v>
      </c>
      <c r="B2" s="123" t="s">
        <v>697</v>
      </c>
      <c r="C2" s="125" t="s">
        <v>690</v>
      </c>
      <c r="D2" s="963" t="s">
        <v>591</v>
      </c>
      <c r="E2" s="963" t="s">
        <v>590</v>
      </c>
      <c r="F2" s="964" t="s">
        <v>592</v>
      </c>
      <c r="G2" s="24" t="s">
        <v>402</v>
      </c>
    </row>
    <row r="3" spans="1:7" x14ac:dyDescent="0.25">
      <c r="A3" t="s">
        <v>403</v>
      </c>
      <c r="B3" s="74">
        <v>0.5</v>
      </c>
      <c r="G3" t="s">
        <v>404</v>
      </c>
    </row>
    <row r="4" spans="1:7" x14ac:dyDescent="0.25">
      <c r="A4" t="s">
        <v>406</v>
      </c>
      <c r="B4" s="1">
        <v>0.3</v>
      </c>
      <c r="G4" t="s">
        <v>407</v>
      </c>
    </row>
    <row r="5" spans="1:7" x14ac:dyDescent="0.25">
      <c r="A5" t="s">
        <v>408</v>
      </c>
      <c r="B5" s="1">
        <v>0.6</v>
      </c>
      <c r="G5" t="s">
        <v>409</v>
      </c>
    </row>
    <row r="6" spans="1:7" x14ac:dyDescent="0.25">
      <c r="A6" t="s">
        <v>410</v>
      </c>
      <c r="B6" s="1">
        <v>0.9</v>
      </c>
      <c r="G6" t="s">
        <v>411</v>
      </c>
    </row>
    <row r="7" spans="1:7" x14ac:dyDescent="0.25">
      <c r="A7" s="24" t="s">
        <v>405</v>
      </c>
      <c r="B7" s="1">
        <v>0</v>
      </c>
      <c r="C7" s="70">
        <v>0</v>
      </c>
      <c r="D7" s="550" t="s">
        <v>691</v>
      </c>
      <c r="E7" s="550" t="s">
        <v>652</v>
      </c>
      <c r="F7" s="550" t="s">
        <v>831</v>
      </c>
    </row>
    <row r="8" spans="1:7" x14ac:dyDescent="0.25">
      <c r="B8" s="1">
        <v>1</v>
      </c>
      <c r="C8" s="70">
        <v>1</v>
      </c>
      <c r="D8" s="550" t="s">
        <v>692</v>
      </c>
      <c r="E8" s="550" t="s">
        <v>656</v>
      </c>
      <c r="F8" s="550" t="s">
        <v>832</v>
      </c>
    </row>
    <row r="9" spans="1:7" x14ac:dyDescent="0.25">
      <c r="B9" s="1">
        <v>2</v>
      </c>
      <c r="C9" s="70">
        <v>2</v>
      </c>
      <c r="D9" s="550" t="s">
        <v>693</v>
      </c>
      <c r="E9" s="550" t="s">
        <v>657</v>
      </c>
      <c r="F9" s="550" t="s">
        <v>833</v>
      </c>
    </row>
    <row r="10" spans="1:7" x14ac:dyDescent="0.25">
      <c r="B10" s="1">
        <v>3</v>
      </c>
      <c r="C10" s="70">
        <v>3</v>
      </c>
      <c r="D10" s="550" t="s">
        <v>694</v>
      </c>
      <c r="E10" s="550" t="s">
        <v>653</v>
      </c>
      <c r="F10" s="550" t="s">
        <v>834</v>
      </c>
    </row>
    <row r="11" spans="1:7" x14ac:dyDescent="0.25">
      <c r="A11" s="24" t="s">
        <v>810</v>
      </c>
      <c r="B11" s="91" t="str">
        <f>VLOOKUP($C11,$C$11:$F$13,$B$1,FALSE)</f>
        <v>Organisaation nykytila</v>
      </c>
      <c r="C11" s="20">
        <v>0</v>
      </c>
      <c r="D11" s="550" t="s">
        <v>816</v>
      </c>
      <c r="E11" s="550" t="s">
        <v>655</v>
      </c>
      <c r="F11" s="550" t="s">
        <v>828</v>
      </c>
      <c r="G11" s="91" t="s">
        <v>935</v>
      </c>
    </row>
    <row r="12" spans="1:7" x14ac:dyDescent="0.25">
      <c r="B12" s="91" t="str">
        <f>VLOOKUP($C12,$C$11:$F$13,$B$1,FALSE)</f>
        <v>Organisaation edellinen arviointi</v>
      </c>
      <c r="C12" s="20">
        <v>1</v>
      </c>
      <c r="D12" s="550" t="s">
        <v>817</v>
      </c>
      <c r="E12" s="550" t="s">
        <v>658</v>
      </c>
      <c r="F12" s="550" t="s">
        <v>829</v>
      </c>
    </row>
    <row r="13" spans="1:7" x14ac:dyDescent="0.25">
      <c r="B13" s="91" t="str">
        <f>VLOOKUP($C13,$C$11:$F$13,$B$1,FALSE)</f>
        <v>Referenssiryhmän keskiarvo</v>
      </c>
      <c r="C13" s="20">
        <v>2</v>
      </c>
      <c r="D13" s="550" t="s">
        <v>818</v>
      </c>
      <c r="E13" s="550" t="s">
        <v>811</v>
      </c>
      <c r="F13" s="550" t="s">
        <v>830</v>
      </c>
    </row>
    <row r="14" spans="1:7" x14ac:dyDescent="0.25">
      <c r="A14" s="24" t="s">
        <v>812</v>
      </c>
      <c r="B14" s="91" t="str">
        <f>VLOOKUP($C14,$C$14:$F$17,$B$1,FALSE)</f>
        <v>Kypsyystaso 0</v>
      </c>
      <c r="C14" s="20">
        <v>0</v>
      </c>
      <c r="D14" s="550" t="s">
        <v>691</v>
      </c>
      <c r="E14" s="550" t="s">
        <v>652</v>
      </c>
      <c r="F14" s="550" t="s">
        <v>831</v>
      </c>
    </row>
    <row r="15" spans="1:7" x14ac:dyDescent="0.25">
      <c r="B15" s="91" t="str">
        <f>VLOOKUP($C15,$C$14:$F$17,$B$1,FALSE)</f>
        <v>Kypsyystaso 1</v>
      </c>
      <c r="C15" s="20">
        <v>1</v>
      </c>
      <c r="D15" s="550" t="s">
        <v>692</v>
      </c>
      <c r="E15" s="550" t="s">
        <v>656</v>
      </c>
      <c r="F15" s="550" t="s">
        <v>832</v>
      </c>
    </row>
    <row r="16" spans="1:7" x14ac:dyDescent="0.25">
      <c r="B16" s="91" t="str">
        <f>VLOOKUP($C16,$C$14:$F$17,$B$1,FALSE)</f>
        <v>Kypsyystaso 2</v>
      </c>
      <c r="C16" s="20">
        <v>2</v>
      </c>
      <c r="D16" s="550" t="s">
        <v>693</v>
      </c>
      <c r="E16" s="550" t="s">
        <v>657</v>
      </c>
      <c r="F16" s="550" t="s">
        <v>833</v>
      </c>
    </row>
    <row r="17" spans="1:6" x14ac:dyDescent="0.25">
      <c r="B17" s="91" t="str">
        <f>VLOOKUP($C17,$C$14:$F$17,$B$1,FALSE)</f>
        <v>Kypsyystaso 3</v>
      </c>
      <c r="C17" s="20">
        <v>3</v>
      </c>
      <c r="D17" s="550" t="s">
        <v>694</v>
      </c>
      <c r="E17" s="550" t="s">
        <v>653</v>
      </c>
      <c r="F17" s="550" t="s">
        <v>834</v>
      </c>
    </row>
    <row r="18" spans="1:6" x14ac:dyDescent="0.25">
      <c r="A18" s="24" t="s">
        <v>412</v>
      </c>
      <c r="B18" s="126" t="str">
        <f>VLOOKUP($C18,$C$18:$F$22,$B$1,FALSE)</f>
        <v xml:space="preserve">0 - Vastaus puuttuu </v>
      </c>
      <c r="C18" s="125">
        <v>0</v>
      </c>
      <c r="D18" s="965" t="s">
        <v>2541</v>
      </c>
      <c r="E18" s="965" t="s">
        <v>2542</v>
      </c>
      <c r="F18" s="966" t="s">
        <v>2544</v>
      </c>
    </row>
    <row r="19" spans="1:6" x14ac:dyDescent="0.25">
      <c r="B19" s="126" t="str">
        <f>VLOOKUP($C19,$C$18:$F$22,$B$1,FALSE)</f>
        <v>1 - Ei toteutettu tai ei tietoa</v>
      </c>
      <c r="C19" s="125">
        <v>1</v>
      </c>
      <c r="D19" s="965" t="s">
        <v>2540</v>
      </c>
      <c r="E19" s="965" t="s">
        <v>2545</v>
      </c>
      <c r="F19" s="966" t="s">
        <v>2543</v>
      </c>
    </row>
    <row r="20" spans="1:6" x14ac:dyDescent="0.25">
      <c r="B20" s="126" t="str">
        <f>VLOOKUP($C20,$C$18:$F$22,$B$1,FALSE)</f>
        <v>2 - Osittain toteutettu</v>
      </c>
      <c r="C20" s="125">
        <v>2</v>
      </c>
      <c r="D20" s="965" t="s">
        <v>1482</v>
      </c>
      <c r="E20" s="965" t="s">
        <v>413</v>
      </c>
      <c r="F20" s="966" t="s">
        <v>881</v>
      </c>
    </row>
    <row r="21" spans="1:6" x14ac:dyDescent="0.25">
      <c r="B21" s="126" t="str">
        <f>VLOOKUP($C21,$C$18:$F$22,$B$1,FALSE)</f>
        <v>3 - Enimmäkseen  toteutettu</v>
      </c>
      <c r="C21" s="125">
        <v>3</v>
      </c>
      <c r="D21" s="965" t="s">
        <v>1483</v>
      </c>
      <c r="E21" s="965" t="s">
        <v>414</v>
      </c>
      <c r="F21" s="966" t="s">
        <v>882</v>
      </c>
    </row>
    <row r="22" spans="1:6" x14ac:dyDescent="0.25">
      <c r="B22" s="126" t="str">
        <f>VLOOKUP($C22,$C$18:$F$22,$B$1,FALSE)</f>
        <v>4 - Täysin toteutettu</v>
      </c>
      <c r="C22" s="125">
        <v>4</v>
      </c>
      <c r="D22" s="965" t="s">
        <v>1484</v>
      </c>
      <c r="E22" s="965" t="s">
        <v>6</v>
      </c>
      <c r="F22" s="966" t="s">
        <v>883</v>
      </c>
    </row>
    <row r="23" spans="1:6" x14ac:dyDescent="0.25">
      <c r="A23" s="24" t="s">
        <v>599</v>
      </c>
      <c r="B23" s="126" t="str">
        <f>VLOOKUP($C23,$C$23:$F$25,$B$1,FALSE)</f>
        <v>1. Vähäinen systeeminen vaikutus</v>
      </c>
      <c r="C23" s="125">
        <v>1</v>
      </c>
      <c r="D23" s="966" t="s">
        <v>595</v>
      </c>
      <c r="E23" s="966" t="s">
        <v>596</v>
      </c>
      <c r="F23" s="965" t="s">
        <v>936</v>
      </c>
    </row>
    <row r="24" spans="1:6" ht="27.6" x14ac:dyDescent="0.25">
      <c r="B24" s="126" t="str">
        <f>VLOOKUP($C24,$C$23:$F$25,$B$1,FALSE)</f>
        <v>2. Huomattava systeeminen vaikutus</v>
      </c>
      <c r="C24" s="125">
        <v>2</v>
      </c>
      <c r="D24" s="966" t="s">
        <v>606</v>
      </c>
      <c r="E24" s="966" t="s">
        <v>481</v>
      </c>
      <c r="F24" s="965" t="s">
        <v>937</v>
      </c>
    </row>
    <row r="25" spans="1:6" ht="27.6" x14ac:dyDescent="0.25">
      <c r="B25" s="126" t="str">
        <f>VLOOKUP($C25,$C$23:$F$25,$B$1,FALSE)</f>
        <v>3. Rampauttava systeeminen vaikutus</v>
      </c>
      <c r="C25" s="125">
        <v>3</v>
      </c>
      <c r="D25" s="966" t="s">
        <v>597</v>
      </c>
      <c r="E25" s="966" t="s">
        <v>598</v>
      </c>
      <c r="F25" s="965" t="s">
        <v>938</v>
      </c>
    </row>
    <row r="26" spans="1:6" x14ac:dyDescent="0.25">
      <c r="A26" s="24" t="s">
        <v>415</v>
      </c>
      <c r="B26" s="126" t="str">
        <f>VLOOKUP($C26,$C$26:$F$40,$B$1,FALSE)</f>
        <v>Elintarvikehuolto</v>
      </c>
      <c r="C26" s="127">
        <v>1</v>
      </c>
      <c r="D26" s="967" t="s">
        <v>870</v>
      </c>
      <c r="E26" s="967" t="s">
        <v>416</v>
      </c>
      <c r="F26" s="967" t="s">
        <v>884</v>
      </c>
    </row>
    <row r="27" spans="1:6" x14ac:dyDescent="0.25">
      <c r="B27" s="126" t="str">
        <f t="shared" ref="B27:B40" si="0">VLOOKUP($C27,$C$26:$F$40,$B$1,FALSE)</f>
        <v>Energiahuolto</v>
      </c>
      <c r="C27" s="127">
        <v>2</v>
      </c>
      <c r="D27" s="967" t="s">
        <v>868</v>
      </c>
      <c r="E27" s="967" t="s">
        <v>417</v>
      </c>
      <c r="F27" s="967" t="s">
        <v>873</v>
      </c>
    </row>
    <row r="28" spans="1:6" x14ac:dyDescent="0.25">
      <c r="B28" s="126" t="str">
        <f t="shared" si="0"/>
        <v>Finanssiala</v>
      </c>
      <c r="C28" s="127">
        <v>3</v>
      </c>
      <c r="D28" s="967" t="s">
        <v>871</v>
      </c>
      <c r="E28" s="967" t="s">
        <v>627</v>
      </c>
      <c r="F28" s="967" t="s">
        <v>885</v>
      </c>
    </row>
    <row r="29" spans="1:6" ht="27.6" x14ac:dyDescent="0.25">
      <c r="B29" s="126" t="str">
        <f t="shared" si="0"/>
        <v>Hallinto- ja tukipalvelut</v>
      </c>
      <c r="C29" s="127">
        <v>4</v>
      </c>
      <c r="D29" s="968" t="s">
        <v>2515</v>
      </c>
      <c r="E29" s="968" t="s">
        <v>2513</v>
      </c>
      <c r="F29" s="968" t="s">
        <v>2514</v>
      </c>
    </row>
    <row r="30" spans="1:6" ht="27.6" x14ac:dyDescent="0.25">
      <c r="B30" s="126" t="str">
        <f t="shared" si="0"/>
        <v>ICT - Informaatio ja viestintä</v>
      </c>
      <c r="C30" s="127">
        <v>5</v>
      </c>
      <c r="D30" s="968" t="s">
        <v>2502</v>
      </c>
      <c r="E30" s="967" t="s">
        <v>2516</v>
      </c>
      <c r="F30" s="968" t="s">
        <v>2501</v>
      </c>
    </row>
    <row r="31" spans="1:6" ht="41.4" x14ac:dyDescent="0.25">
      <c r="B31" s="126" t="str">
        <f t="shared" si="0"/>
        <v>Julkinen hallinto</v>
      </c>
      <c r="C31" s="127">
        <v>6</v>
      </c>
      <c r="D31" s="969" t="s">
        <v>2055</v>
      </c>
      <c r="E31" s="967" t="s">
        <v>2048</v>
      </c>
      <c r="F31" s="969" t="s">
        <v>2054</v>
      </c>
    </row>
    <row r="32" spans="1:6" x14ac:dyDescent="0.25">
      <c r="B32" s="126" t="str">
        <f t="shared" si="0"/>
        <v>Kaivostoiminta ja louhinta</v>
      </c>
      <c r="C32" s="127">
        <v>7</v>
      </c>
      <c r="D32" s="968" t="s">
        <v>2504</v>
      </c>
      <c r="E32" s="967" t="s">
        <v>2052</v>
      </c>
      <c r="F32" s="968" t="s">
        <v>2503</v>
      </c>
    </row>
    <row r="33" spans="1:6" x14ac:dyDescent="0.25">
      <c r="B33" s="126" t="str">
        <f t="shared" si="0"/>
        <v>Koulutus ja tutkimus</v>
      </c>
      <c r="C33" s="127">
        <v>8</v>
      </c>
      <c r="D33" s="967" t="s">
        <v>2046</v>
      </c>
      <c r="E33" s="967" t="s">
        <v>2499</v>
      </c>
      <c r="F33" s="967" t="s">
        <v>2047</v>
      </c>
    </row>
    <row r="34" spans="1:6" x14ac:dyDescent="0.25">
      <c r="B34" s="126" t="str">
        <f t="shared" si="0"/>
        <v>Logistiikka</v>
      </c>
      <c r="C34" s="127">
        <v>9</v>
      </c>
      <c r="D34" s="967" t="s">
        <v>869</v>
      </c>
      <c r="E34" s="967" t="s">
        <v>418</v>
      </c>
      <c r="F34" s="967" t="s">
        <v>874</v>
      </c>
    </row>
    <row r="35" spans="1:6" ht="27.6" x14ac:dyDescent="0.25">
      <c r="B35" s="126" t="str">
        <f t="shared" si="0"/>
        <v>Majoitus- ja ravitsemistoiminta</v>
      </c>
      <c r="C35" s="127">
        <v>10</v>
      </c>
      <c r="D35" s="968" t="s">
        <v>2506</v>
      </c>
      <c r="E35" s="968" t="s">
        <v>2051</v>
      </c>
      <c r="F35" s="968" t="s">
        <v>2505</v>
      </c>
    </row>
    <row r="36" spans="1:6" x14ac:dyDescent="0.25">
      <c r="B36" s="126" t="str">
        <f t="shared" si="0"/>
        <v>Media-ala</v>
      </c>
      <c r="C36" s="127">
        <v>11</v>
      </c>
      <c r="D36" s="970" t="s">
        <v>2508</v>
      </c>
      <c r="E36" s="970" t="s">
        <v>2507</v>
      </c>
      <c r="F36" s="970" t="s">
        <v>2509</v>
      </c>
    </row>
    <row r="37" spans="1:6" x14ac:dyDescent="0.25">
      <c r="B37" s="126" t="str">
        <f t="shared" si="0"/>
        <v xml:space="preserve">Muu </v>
      </c>
      <c r="C37" s="127">
        <v>12</v>
      </c>
      <c r="D37" s="967" t="s">
        <v>2050</v>
      </c>
      <c r="E37" s="967" t="s">
        <v>2500</v>
      </c>
      <c r="F37" s="967" t="s">
        <v>2053</v>
      </c>
    </row>
    <row r="38" spans="1:6" x14ac:dyDescent="0.25">
      <c r="B38" s="126" t="str">
        <f t="shared" si="0"/>
        <v>Teollisuustuotanto</v>
      </c>
      <c r="C38" s="127">
        <v>13</v>
      </c>
      <c r="D38" s="967" t="s">
        <v>2043</v>
      </c>
      <c r="E38" s="967" t="s">
        <v>2044</v>
      </c>
      <c r="F38" s="967" t="s">
        <v>2045</v>
      </c>
    </row>
    <row r="39" spans="1:6" x14ac:dyDescent="0.25">
      <c r="B39" s="126" t="str">
        <f t="shared" si="0"/>
        <v>Terveydenhuolto</v>
      </c>
      <c r="C39" s="127">
        <v>14</v>
      </c>
      <c r="D39" s="967" t="s">
        <v>872</v>
      </c>
      <c r="E39" s="967" t="s">
        <v>419</v>
      </c>
      <c r="F39" s="967" t="s">
        <v>886</v>
      </c>
    </row>
    <row r="40" spans="1:6" x14ac:dyDescent="0.25">
      <c r="B40" s="126" t="str">
        <f t="shared" si="0"/>
        <v>Tukku- ja vähittäiskauppa</v>
      </c>
      <c r="C40" s="127">
        <v>15</v>
      </c>
      <c r="D40" s="969" t="s">
        <v>2512</v>
      </c>
      <c r="E40" s="968" t="s">
        <v>2511</v>
      </c>
      <c r="F40" s="967" t="s">
        <v>2510</v>
      </c>
    </row>
    <row r="41" spans="1:6" x14ac:dyDescent="0.25">
      <c r="A41" s="24" t="s">
        <v>601</v>
      </c>
      <c r="B41" s="126" t="str">
        <f t="shared" ref="B41:B77" si="1">VLOOKUP($C41,$C$41:$F$77,$B$1,FALSE)</f>
        <v>Elintarvike - Alkutuotanto</v>
      </c>
      <c r="C41" s="127">
        <v>1</v>
      </c>
      <c r="D41" s="966" t="s">
        <v>931</v>
      </c>
      <c r="E41" s="966" t="s">
        <v>628</v>
      </c>
      <c r="F41" s="966" t="s">
        <v>887</v>
      </c>
    </row>
    <row r="42" spans="1:6" x14ac:dyDescent="0.25">
      <c r="B42" s="126" t="str">
        <f t="shared" si="1"/>
        <v>Elintarvike - Elintarviketeollisuus</v>
      </c>
      <c r="C42" s="127">
        <v>2</v>
      </c>
      <c r="D42" s="966" t="s">
        <v>932</v>
      </c>
      <c r="E42" s="966" t="s">
        <v>629</v>
      </c>
      <c r="F42" s="966" t="s">
        <v>888</v>
      </c>
    </row>
    <row r="43" spans="1:6" ht="27.6" x14ac:dyDescent="0.25">
      <c r="B43" s="126" t="str">
        <f t="shared" si="1"/>
        <v>Elintarvike - Kauppa ja jakelu</v>
      </c>
      <c r="C43" s="127">
        <v>3</v>
      </c>
      <c r="D43" s="966" t="s">
        <v>933</v>
      </c>
      <c r="E43" s="966" t="s">
        <v>630</v>
      </c>
      <c r="F43" s="966" t="s">
        <v>889</v>
      </c>
    </row>
    <row r="44" spans="1:6" x14ac:dyDescent="0.25">
      <c r="B44" s="126" t="str">
        <f t="shared" si="1"/>
        <v>Elintarvike - Muu</v>
      </c>
      <c r="C44" s="127">
        <v>4</v>
      </c>
      <c r="D44" s="966" t="s">
        <v>934</v>
      </c>
      <c r="E44" s="966" t="s">
        <v>631</v>
      </c>
      <c r="F44" s="966" t="s">
        <v>890</v>
      </c>
    </row>
    <row r="45" spans="1:6" x14ac:dyDescent="0.25">
      <c r="B45" s="126" t="str">
        <f t="shared" si="1"/>
        <v>Energia - Voimatalous</v>
      </c>
      <c r="C45" s="127">
        <v>5</v>
      </c>
      <c r="D45" s="966" t="s">
        <v>911</v>
      </c>
      <c r="E45" s="966" t="s">
        <v>632</v>
      </c>
      <c r="F45" s="966" t="s">
        <v>891</v>
      </c>
    </row>
    <row r="46" spans="1:6" x14ac:dyDescent="0.25">
      <c r="B46" s="126" t="str">
        <f t="shared" si="1"/>
        <v>Energia - Öljy</v>
      </c>
      <c r="C46" s="127">
        <v>6</v>
      </c>
      <c r="D46" s="966" t="s">
        <v>912</v>
      </c>
      <c r="E46" s="966" t="s">
        <v>633</v>
      </c>
      <c r="F46" s="966" t="s">
        <v>892</v>
      </c>
    </row>
    <row r="47" spans="1:6" x14ac:dyDescent="0.25">
      <c r="B47" s="798" t="str">
        <f t="shared" si="1"/>
        <v>Energia - Muu</v>
      </c>
      <c r="C47" s="127">
        <v>7</v>
      </c>
      <c r="D47" s="967" t="s">
        <v>913</v>
      </c>
      <c r="E47" s="967" t="s">
        <v>634</v>
      </c>
      <c r="F47" s="967" t="s">
        <v>893</v>
      </c>
    </row>
    <row r="48" spans="1:6" x14ac:dyDescent="0.25">
      <c r="B48" s="798" t="str">
        <f t="shared" si="1"/>
        <v>Finanssi - Kiinteistöalan toiminta</v>
      </c>
      <c r="C48" s="127">
        <v>8</v>
      </c>
      <c r="D48" s="968" t="s">
        <v>2526</v>
      </c>
      <c r="E48" s="967" t="s">
        <v>2517</v>
      </c>
      <c r="F48" s="968" t="s">
        <v>2525</v>
      </c>
    </row>
    <row r="49" spans="2:6" x14ac:dyDescent="0.25">
      <c r="B49" s="798" t="str">
        <f t="shared" si="1"/>
        <v>Finanssi - Rahoitushuolto</v>
      </c>
      <c r="C49" s="127">
        <v>9</v>
      </c>
      <c r="D49" s="967" t="s">
        <v>914</v>
      </c>
      <c r="E49" s="967" t="s">
        <v>635</v>
      </c>
      <c r="F49" s="967" t="s">
        <v>894</v>
      </c>
    </row>
    <row r="50" spans="2:6" x14ac:dyDescent="0.25">
      <c r="B50" s="798" t="str">
        <f t="shared" si="1"/>
        <v>Finanssi - Vakuutusala</v>
      </c>
      <c r="C50" s="127">
        <v>10</v>
      </c>
      <c r="D50" s="967" t="s">
        <v>915</v>
      </c>
      <c r="E50" s="967" t="s">
        <v>636</v>
      </c>
      <c r="F50" s="967" t="s">
        <v>895</v>
      </c>
    </row>
    <row r="51" spans="2:6" x14ac:dyDescent="0.25">
      <c r="B51" s="798" t="str">
        <f t="shared" si="1"/>
        <v>Finanssi - Muu</v>
      </c>
      <c r="C51" s="127">
        <v>11</v>
      </c>
      <c r="D51" s="967" t="s">
        <v>916</v>
      </c>
      <c r="E51" s="967" t="s">
        <v>637</v>
      </c>
      <c r="F51" s="967" t="s">
        <v>896</v>
      </c>
    </row>
    <row r="52" spans="2:6" ht="27.6" x14ac:dyDescent="0.25">
      <c r="B52" s="798" t="str">
        <f t="shared" si="1"/>
        <v>Hallinto- ja tukipalvelut</v>
      </c>
      <c r="C52" s="127">
        <v>12</v>
      </c>
      <c r="D52" s="968" t="s">
        <v>2515</v>
      </c>
      <c r="E52" s="968" t="s">
        <v>2513</v>
      </c>
      <c r="F52" s="968" t="s">
        <v>2514</v>
      </c>
    </row>
    <row r="53" spans="2:6" x14ac:dyDescent="0.25">
      <c r="B53" s="798" t="str">
        <f t="shared" si="1"/>
        <v>ICT - ISP ja NSP</v>
      </c>
      <c r="C53" s="127">
        <v>13</v>
      </c>
      <c r="D53" s="968" t="s">
        <v>2536</v>
      </c>
      <c r="E53" s="967" t="s">
        <v>2520</v>
      </c>
      <c r="F53" s="967" t="s">
        <v>2530</v>
      </c>
    </row>
    <row r="54" spans="2:6" ht="27.6" x14ac:dyDescent="0.25">
      <c r="B54" s="798" t="str">
        <f t="shared" si="1"/>
        <v>ICT - palvelutuotanto, sovelluskehitys, ylläpito</v>
      </c>
      <c r="C54" s="127">
        <v>14</v>
      </c>
      <c r="D54" s="968" t="s">
        <v>2532</v>
      </c>
      <c r="E54" s="968" t="s">
        <v>2531</v>
      </c>
      <c r="F54" s="968" t="s">
        <v>2533</v>
      </c>
    </row>
    <row r="55" spans="2:6" x14ac:dyDescent="0.25">
      <c r="B55" s="798" t="str">
        <f t="shared" si="1"/>
        <v>ICT - Muu</v>
      </c>
      <c r="C55" s="127">
        <v>15</v>
      </c>
      <c r="D55" s="967" t="s">
        <v>2522</v>
      </c>
      <c r="E55" s="967" t="s">
        <v>2521</v>
      </c>
      <c r="F55" s="967" t="s">
        <v>2523</v>
      </c>
    </row>
    <row r="56" spans="2:6" x14ac:dyDescent="0.25">
      <c r="B56" s="798" t="str">
        <f t="shared" si="1"/>
        <v>Julkinen hallinto</v>
      </c>
      <c r="C56" s="127">
        <v>16</v>
      </c>
      <c r="D56" s="967" t="s">
        <v>2524</v>
      </c>
      <c r="E56" s="970" t="s">
        <v>2048</v>
      </c>
      <c r="F56" s="967" t="s">
        <v>2054</v>
      </c>
    </row>
    <row r="57" spans="2:6" x14ac:dyDescent="0.25">
      <c r="B57" s="126" t="str">
        <f t="shared" si="1"/>
        <v>Koulutus ja tutkimus</v>
      </c>
      <c r="C57" s="127">
        <v>17</v>
      </c>
      <c r="D57" s="971" t="s">
        <v>2534</v>
      </c>
      <c r="E57" s="970" t="s">
        <v>2499</v>
      </c>
      <c r="F57" s="968" t="s">
        <v>2535</v>
      </c>
    </row>
    <row r="58" spans="2:6" x14ac:dyDescent="0.25">
      <c r="B58" s="126" t="str">
        <f t="shared" si="1"/>
        <v>Kriit. teollisuus - Kemia</v>
      </c>
      <c r="C58" s="127">
        <v>18</v>
      </c>
      <c r="D58" s="966" t="s">
        <v>917</v>
      </c>
      <c r="E58" s="966" t="s">
        <v>645</v>
      </c>
      <c r="F58" s="966" t="s">
        <v>897</v>
      </c>
    </row>
    <row r="59" spans="2:6" ht="41.4" x14ac:dyDescent="0.25">
      <c r="B59" s="126" t="str">
        <f t="shared" si="1"/>
        <v>Kriit. Teollisuus - Lääkkeet ja lääkinnälliset laitteet</v>
      </c>
      <c r="C59" s="127">
        <v>19</v>
      </c>
      <c r="D59" s="966" t="s">
        <v>2538</v>
      </c>
      <c r="E59" s="966" t="s">
        <v>2519</v>
      </c>
      <c r="F59" s="966" t="s">
        <v>2537</v>
      </c>
    </row>
    <row r="60" spans="2:6" x14ac:dyDescent="0.25">
      <c r="B60" s="126" t="str">
        <f t="shared" si="1"/>
        <v>Kriit. teollisuus - Metsä</v>
      </c>
      <c r="C60" s="127">
        <v>20</v>
      </c>
      <c r="D60" s="966" t="s">
        <v>918</v>
      </c>
      <c r="E60" s="966" t="s">
        <v>646</v>
      </c>
      <c r="F60" s="966" t="s">
        <v>898</v>
      </c>
    </row>
    <row r="61" spans="2:6" x14ac:dyDescent="0.25">
      <c r="B61" s="126" t="str">
        <f t="shared" si="1"/>
        <v>Kriit. teollisuus - MIL</v>
      </c>
      <c r="C61" s="127">
        <v>21</v>
      </c>
      <c r="D61" s="966" t="s">
        <v>919</v>
      </c>
      <c r="E61" s="966" t="s">
        <v>647</v>
      </c>
      <c r="F61" s="966" t="s">
        <v>899</v>
      </c>
    </row>
    <row r="62" spans="2:6" ht="27.6" x14ac:dyDescent="0.25">
      <c r="B62" s="126" t="str">
        <f t="shared" si="1"/>
        <v>Kriit. teollisuus - Muovi ja kumi</v>
      </c>
      <c r="C62" s="127">
        <v>22</v>
      </c>
      <c r="D62" s="966" t="s">
        <v>920</v>
      </c>
      <c r="E62" s="966" t="s">
        <v>648</v>
      </c>
      <c r="F62" s="966" t="s">
        <v>900</v>
      </c>
    </row>
    <row r="63" spans="2:6" ht="27.6" x14ac:dyDescent="0.25">
      <c r="B63" s="126" t="str">
        <f t="shared" si="1"/>
        <v>Kriit. teollisuus - Rakennus</v>
      </c>
      <c r="C63" s="127">
        <v>23</v>
      </c>
      <c r="D63" s="966" t="s">
        <v>921</v>
      </c>
      <c r="E63" s="966" t="s">
        <v>649</v>
      </c>
      <c r="F63" s="966" t="s">
        <v>901</v>
      </c>
    </row>
    <row r="64" spans="2:6" x14ac:dyDescent="0.25">
      <c r="B64" s="126" t="str">
        <f t="shared" si="1"/>
        <v>Kriit. teollisuus - Teknologia</v>
      </c>
      <c r="C64" s="127">
        <v>24</v>
      </c>
      <c r="D64" s="966" t="s">
        <v>922</v>
      </c>
      <c r="E64" s="966" t="s">
        <v>650</v>
      </c>
      <c r="F64" s="966" t="s">
        <v>902</v>
      </c>
    </row>
    <row r="65" spans="1:7" x14ac:dyDescent="0.25">
      <c r="B65" s="126" t="str">
        <f t="shared" si="1"/>
        <v>Kriit. teollisuus - Muu</v>
      </c>
      <c r="C65" s="127">
        <v>25</v>
      </c>
      <c r="D65" s="966" t="s">
        <v>923</v>
      </c>
      <c r="E65" s="966" t="s">
        <v>651</v>
      </c>
      <c r="F65" s="966" t="s">
        <v>903</v>
      </c>
    </row>
    <row r="66" spans="1:7" x14ac:dyDescent="0.25">
      <c r="B66" s="126" t="str">
        <f t="shared" si="1"/>
        <v>Logistiikka - Ilmakuljetus</v>
      </c>
      <c r="C66" s="127">
        <v>26</v>
      </c>
      <c r="D66" s="966" t="s">
        <v>924</v>
      </c>
      <c r="E66" s="966" t="s">
        <v>638</v>
      </c>
      <c r="F66" s="966" t="s">
        <v>904</v>
      </c>
    </row>
    <row r="67" spans="1:7" x14ac:dyDescent="0.25">
      <c r="B67" s="126" t="str">
        <f t="shared" si="1"/>
        <v>Logistiikka - Maakuljetus</v>
      </c>
      <c r="C67" s="127">
        <v>27</v>
      </c>
      <c r="D67" s="966" t="s">
        <v>925</v>
      </c>
      <c r="E67" s="966" t="s">
        <v>639</v>
      </c>
      <c r="F67" s="966" t="s">
        <v>905</v>
      </c>
    </row>
    <row r="68" spans="1:7" x14ac:dyDescent="0.25">
      <c r="B68" s="126" t="str">
        <f t="shared" si="1"/>
        <v>Logistiikka - Satamatoiminta</v>
      </c>
      <c r="C68" s="127">
        <v>28</v>
      </c>
      <c r="D68" s="966" t="s">
        <v>2528</v>
      </c>
      <c r="E68" s="966" t="s">
        <v>2518</v>
      </c>
      <c r="F68" s="966" t="s">
        <v>2529</v>
      </c>
    </row>
    <row r="69" spans="1:7" x14ac:dyDescent="0.25">
      <c r="B69" s="126" t="str">
        <f t="shared" si="1"/>
        <v>Logistiikka - Vesikuljetus</v>
      </c>
      <c r="C69" s="127">
        <v>29</v>
      </c>
      <c r="D69" s="967" t="s">
        <v>926</v>
      </c>
      <c r="E69" s="967" t="s">
        <v>640</v>
      </c>
      <c r="F69" s="967" t="s">
        <v>906</v>
      </c>
      <c r="G69" s="797"/>
    </row>
    <row r="70" spans="1:7" x14ac:dyDescent="0.25">
      <c r="B70" s="126" t="str">
        <f t="shared" si="1"/>
        <v>Logistiikka - Muu</v>
      </c>
      <c r="C70" s="127">
        <v>30</v>
      </c>
      <c r="D70" s="967" t="s">
        <v>927</v>
      </c>
      <c r="E70" s="967" t="s">
        <v>641</v>
      </c>
      <c r="F70" s="967" t="s">
        <v>907</v>
      </c>
      <c r="G70" s="797"/>
    </row>
    <row r="71" spans="1:7" ht="27.6" x14ac:dyDescent="0.25">
      <c r="B71" s="126" t="str">
        <f t="shared" si="1"/>
        <v>Majoitus- ja ravitsemistoiminta</v>
      </c>
      <c r="C71" s="127">
        <v>31</v>
      </c>
      <c r="D71" s="968" t="s">
        <v>2506</v>
      </c>
      <c r="E71" s="968" t="s">
        <v>2051</v>
      </c>
      <c r="F71" s="968" t="s">
        <v>2505</v>
      </c>
      <c r="G71" s="797"/>
    </row>
    <row r="72" spans="1:7" x14ac:dyDescent="0.25">
      <c r="B72" s="126" t="str">
        <f t="shared" si="1"/>
        <v>Media-ala</v>
      </c>
      <c r="C72" s="127">
        <v>32</v>
      </c>
      <c r="D72" s="970" t="s">
        <v>2508</v>
      </c>
      <c r="E72" s="970" t="s">
        <v>2507</v>
      </c>
      <c r="F72" s="970" t="s">
        <v>2527</v>
      </c>
      <c r="G72" s="797"/>
    </row>
    <row r="73" spans="1:7" x14ac:dyDescent="0.25">
      <c r="B73" s="126" t="str">
        <f t="shared" si="1"/>
        <v>Terveys - Terveydenhuolto</v>
      </c>
      <c r="C73" s="127">
        <v>33</v>
      </c>
      <c r="D73" s="967" t="s">
        <v>928</v>
      </c>
      <c r="E73" s="967" t="s">
        <v>642</v>
      </c>
      <c r="F73" s="967" t="s">
        <v>908</v>
      </c>
      <c r="G73" s="797"/>
    </row>
    <row r="74" spans="1:7" x14ac:dyDescent="0.25">
      <c r="B74" s="126" t="str">
        <f t="shared" si="1"/>
        <v>Terveys - Vesihuolto</v>
      </c>
      <c r="C74" s="127">
        <v>34</v>
      </c>
      <c r="D74" s="967" t="s">
        <v>929</v>
      </c>
      <c r="E74" s="967" t="s">
        <v>643</v>
      </c>
      <c r="F74" s="967" t="s">
        <v>909</v>
      </c>
      <c r="G74" s="797"/>
    </row>
    <row r="75" spans="1:7" x14ac:dyDescent="0.25">
      <c r="B75" s="126" t="str">
        <f t="shared" si="1"/>
        <v>Terveys - Muu</v>
      </c>
      <c r="C75" s="127">
        <v>35</v>
      </c>
      <c r="D75" s="967" t="s">
        <v>930</v>
      </c>
      <c r="E75" s="967" t="s">
        <v>644</v>
      </c>
      <c r="F75" s="967" t="s">
        <v>910</v>
      </c>
      <c r="G75" s="797"/>
    </row>
    <row r="76" spans="1:7" x14ac:dyDescent="0.25">
      <c r="B76" s="126" t="str">
        <f t="shared" si="1"/>
        <v>Tukku- ja vähittäiskauppa</v>
      </c>
      <c r="C76" s="127">
        <v>36</v>
      </c>
      <c r="D76" s="969" t="s">
        <v>2512</v>
      </c>
      <c r="E76" s="968" t="s">
        <v>2511</v>
      </c>
      <c r="F76" s="967" t="s">
        <v>2510</v>
      </c>
      <c r="G76" s="797"/>
    </row>
    <row r="77" spans="1:7" x14ac:dyDescent="0.25">
      <c r="B77" s="126" t="str">
        <f t="shared" si="1"/>
        <v>Muu</v>
      </c>
      <c r="C77" s="127">
        <v>37</v>
      </c>
      <c r="D77" s="966" t="s">
        <v>2050</v>
      </c>
      <c r="E77" s="966" t="s">
        <v>2049</v>
      </c>
      <c r="F77" s="966" t="s">
        <v>2053</v>
      </c>
    </row>
    <row r="78" spans="1:7" ht="27.6" x14ac:dyDescent="0.25">
      <c r="A78" s="24" t="s">
        <v>875</v>
      </c>
      <c r="B78" s="126" t="str">
        <f t="shared" ref="B78:B88" si="2">VLOOKUP($C78,$C$78:$F$88,$B$1,FALSE)</f>
        <v>Kriittiset
palvelut</v>
      </c>
      <c r="C78" s="127">
        <v>1</v>
      </c>
      <c r="D78" s="966" t="s">
        <v>56</v>
      </c>
      <c r="E78" s="972" t="s">
        <v>803</v>
      </c>
      <c r="F78" s="966" t="s">
        <v>56</v>
      </c>
    </row>
    <row r="79" spans="1:7" ht="27.6" x14ac:dyDescent="0.25">
      <c r="B79" s="126" t="str">
        <f t="shared" si="2"/>
        <v>Omaisuuden
hallinta</v>
      </c>
      <c r="C79" s="127">
        <v>2</v>
      </c>
      <c r="D79" s="966" t="s">
        <v>48</v>
      </c>
      <c r="E79" s="972" t="s">
        <v>1496</v>
      </c>
      <c r="F79" s="966" t="s">
        <v>48</v>
      </c>
    </row>
    <row r="80" spans="1:7" ht="27.6" x14ac:dyDescent="0.25">
      <c r="B80" s="126" t="str">
        <f t="shared" si="2"/>
        <v>Uhkat ja
haavoittuvuudet</v>
      </c>
      <c r="C80" s="127">
        <v>3</v>
      </c>
      <c r="D80" s="966" t="s">
        <v>64</v>
      </c>
      <c r="E80" s="972" t="s">
        <v>1495</v>
      </c>
      <c r="F80" s="966" t="s">
        <v>64</v>
      </c>
    </row>
    <row r="81" spans="2:6" ht="27.6" x14ac:dyDescent="0.25">
      <c r="B81" s="126" t="str">
        <f t="shared" si="2"/>
        <v>Riskien
hallinta</v>
      </c>
      <c r="C81" s="127">
        <v>4</v>
      </c>
      <c r="D81" s="966" t="s">
        <v>0</v>
      </c>
      <c r="E81" s="972" t="s">
        <v>804</v>
      </c>
      <c r="F81" s="966" t="s">
        <v>0</v>
      </c>
    </row>
    <row r="82" spans="2:6" ht="27.6" x14ac:dyDescent="0.25">
      <c r="B82" s="126" t="str">
        <f t="shared" si="2"/>
        <v>Pääsyn
hallinta</v>
      </c>
      <c r="C82" s="127">
        <v>5</v>
      </c>
      <c r="D82" s="966" t="s">
        <v>59</v>
      </c>
      <c r="E82" s="972" t="s">
        <v>806</v>
      </c>
      <c r="F82" s="966" t="s">
        <v>59</v>
      </c>
    </row>
    <row r="83" spans="2:6" ht="27.6" x14ac:dyDescent="0.25">
      <c r="B83" s="126" t="str">
        <f t="shared" si="2"/>
        <v>Tilanne
kuva</v>
      </c>
      <c r="C83" s="127">
        <v>6</v>
      </c>
      <c r="D83" s="966" t="s">
        <v>67</v>
      </c>
      <c r="E83" s="972" t="s">
        <v>1494</v>
      </c>
      <c r="F83" s="966" t="s">
        <v>67</v>
      </c>
    </row>
    <row r="84" spans="2:6" ht="27.6" x14ac:dyDescent="0.25">
      <c r="B84" s="126" t="str">
        <f t="shared" si="2"/>
        <v>Tapahtumat
ja häiriöt</v>
      </c>
      <c r="C84" s="127">
        <v>7</v>
      </c>
      <c r="D84" s="966" t="s">
        <v>69</v>
      </c>
      <c r="E84" s="972" t="s">
        <v>1497</v>
      </c>
      <c r="F84" s="966" t="s">
        <v>69</v>
      </c>
    </row>
    <row r="85" spans="2:6" ht="27.6" x14ac:dyDescent="0.25">
      <c r="B85" s="126" t="str">
        <f>VLOOKUP($C85,$C$78:$F$88,$B$1,FALSE)</f>
        <v>Kolmannet
osapuolet</v>
      </c>
      <c r="C85" s="127">
        <v>8</v>
      </c>
      <c r="D85" s="550" t="s">
        <v>2619</v>
      </c>
      <c r="E85" s="972" t="s">
        <v>1493</v>
      </c>
      <c r="F85" s="550" t="s">
        <v>2619</v>
      </c>
    </row>
    <row r="86" spans="2:6" ht="27.6" x14ac:dyDescent="0.25">
      <c r="B86" s="126" t="str">
        <f t="shared" si="2"/>
        <v>Henkilöstön
hallinta</v>
      </c>
      <c r="C86" s="127">
        <v>9</v>
      </c>
      <c r="D86" s="550" t="s">
        <v>74</v>
      </c>
      <c r="E86" s="972" t="s">
        <v>1499</v>
      </c>
      <c r="F86" s="550" t="s">
        <v>74</v>
      </c>
    </row>
    <row r="87" spans="2:6" ht="27.6" x14ac:dyDescent="0.25">
      <c r="B87" s="126" t="str">
        <f t="shared" si="2"/>
        <v>Kyber
arkkitehtuuri</v>
      </c>
      <c r="C87" s="127">
        <v>10</v>
      </c>
      <c r="D87" s="550" t="s">
        <v>77</v>
      </c>
      <c r="E87" s="972" t="s">
        <v>809</v>
      </c>
      <c r="F87" s="550" t="s">
        <v>77</v>
      </c>
    </row>
    <row r="88" spans="2:6" ht="27.6" x14ac:dyDescent="0.25">
      <c r="B88" s="126" t="str">
        <f t="shared" si="2"/>
        <v>Kyberturv.
hallinta</v>
      </c>
      <c r="C88" s="127">
        <v>11</v>
      </c>
      <c r="D88" s="550" t="s">
        <v>79</v>
      </c>
      <c r="E88" s="972" t="s">
        <v>1498</v>
      </c>
      <c r="F88" s="550" t="s">
        <v>79</v>
      </c>
    </row>
    <row r="90" spans="2:6" ht="27.6" x14ac:dyDescent="0.25">
      <c r="D90" s="550" t="s">
        <v>56</v>
      </c>
      <c r="E90" s="550" t="s">
        <v>803</v>
      </c>
    </row>
    <row r="91" spans="2:6" x14ac:dyDescent="0.25">
      <c r="D91" s="550" t="s">
        <v>48</v>
      </c>
      <c r="E91" s="550" t="s">
        <v>2539</v>
      </c>
    </row>
    <row r="92" spans="2:6" x14ac:dyDescent="0.25">
      <c r="D92" s="550" t="s">
        <v>64</v>
      </c>
      <c r="E92" s="550" t="s">
        <v>801</v>
      </c>
    </row>
    <row r="93" spans="2:6" ht="27.6" x14ac:dyDescent="0.25">
      <c r="D93" s="550" t="s">
        <v>0</v>
      </c>
      <c r="E93" s="550" t="s">
        <v>804</v>
      </c>
    </row>
    <row r="94" spans="2:6" ht="27.6" x14ac:dyDescent="0.25">
      <c r="D94" s="550" t="s">
        <v>59</v>
      </c>
      <c r="E94" s="550" t="s">
        <v>806</v>
      </c>
    </row>
    <row r="95" spans="2:6" x14ac:dyDescent="0.25">
      <c r="D95" s="550" t="s">
        <v>67</v>
      </c>
      <c r="E95" s="550" t="s">
        <v>525</v>
      </c>
    </row>
    <row r="96" spans="2:6" ht="27.6" x14ac:dyDescent="0.25">
      <c r="D96" s="550" t="s">
        <v>69</v>
      </c>
      <c r="E96" s="550" t="s">
        <v>807</v>
      </c>
    </row>
    <row r="97" spans="4:5" ht="27.6" x14ac:dyDescent="0.25">
      <c r="D97" s="550" t="s">
        <v>2619</v>
      </c>
      <c r="E97" s="550" t="s">
        <v>805</v>
      </c>
    </row>
    <row r="98" spans="4:5" x14ac:dyDescent="0.25">
      <c r="D98" s="550" t="s">
        <v>74</v>
      </c>
      <c r="E98" s="550" t="s">
        <v>802</v>
      </c>
    </row>
    <row r="99" spans="4:5" ht="27.6" x14ac:dyDescent="0.25">
      <c r="D99" s="550" t="s">
        <v>77</v>
      </c>
      <c r="E99" s="550" t="s">
        <v>809</v>
      </c>
    </row>
    <row r="100" spans="4:5" ht="27.6" x14ac:dyDescent="0.25">
      <c r="D100" s="550" t="s">
        <v>79</v>
      </c>
      <c r="E100" s="550" t="s">
        <v>808</v>
      </c>
    </row>
  </sheetData>
  <sheetProtection sheet="1" formatCells="0" formatColumns="0" formatRows="0"/>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42A8-6CBB-4175-B633-B7D597C1AFF6}">
  <sheetPr>
    <tabColor rgb="FFFF0000"/>
  </sheetPr>
  <dimension ref="A1:V846"/>
  <sheetViews>
    <sheetView zoomScale="80" zoomScaleNormal="80" workbookViewId="0">
      <selection activeCell="AJ76" sqref="AJ76"/>
    </sheetView>
  </sheetViews>
  <sheetFormatPr defaultRowHeight="13.8" x14ac:dyDescent="0.25"/>
  <cols>
    <col min="1" max="1" width="15.36328125" customWidth="1"/>
    <col min="2" max="2" width="6.6328125" style="556" customWidth="1"/>
    <col min="3" max="3" width="9.81640625" customWidth="1"/>
    <col min="4" max="4" width="9.1796875" customWidth="1"/>
    <col min="6" max="7" width="9.6328125" customWidth="1"/>
    <col min="8" max="8" width="5.6328125" customWidth="1"/>
    <col min="15" max="15" width="5.6328125" customWidth="1"/>
  </cols>
  <sheetData>
    <row r="1" spans="1:22" x14ac:dyDescent="0.25">
      <c r="A1" s="24" t="s">
        <v>1513</v>
      </c>
      <c r="B1" s="70" t="s">
        <v>588</v>
      </c>
      <c r="C1" s="24" t="s">
        <v>1514</v>
      </c>
      <c r="D1" s="24" t="s">
        <v>1514</v>
      </c>
      <c r="E1" s="70" t="s">
        <v>1620</v>
      </c>
      <c r="J1" s="551" t="s">
        <v>446</v>
      </c>
      <c r="K1" s="552" t="s">
        <v>1501</v>
      </c>
      <c r="L1" s="553" t="s">
        <v>1502</v>
      </c>
      <c r="M1" s="554" t="s">
        <v>1503</v>
      </c>
      <c r="N1" s="555" t="s">
        <v>1504</v>
      </c>
    </row>
    <row r="2" spans="1:22" x14ac:dyDescent="0.25">
      <c r="A2" t="s">
        <v>150</v>
      </c>
      <c r="B2" s="556">
        <v>1</v>
      </c>
      <c r="C2" t="s">
        <v>1501</v>
      </c>
      <c r="D2" t="s">
        <v>1515</v>
      </c>
      <c r="E2" s="556">
        <f ca="1">VLOOKUP($A2,Data!$C:$I,7,FALSE)</f>
        <v>0</v>
      </c>
      <c r="F2" s="636" t="str">
        <f>CONCATENATE($D2,$B2)</f>
        <v>PR.AC-11</v>
      </c>
      <c r="G2" s="636" t="str">
        <f ca="1">_xlfn.IFNA(CONCATENATE(F2,$E2),CONCATENATE(F2,$E2,0))</f>
        <v>PR.AC-110</v>
      </c>
      <c r="H2" s="636"/>
      <c r="J2" s="556">
        <f>COUNTIFS($C:$C,J$1)</f>
        <v>304</v>
      </c>
      <c r="K2" s="556">
        <f>COUNTIFS($C:$C,K$1)</f>
        <v>315</v>
      </c>
      <c r="L2" s="556">
        <f>COUNTIFS($C:$C,L$1)</f>
        <v>131</v>
      </c>
      <c r="M2" s="556">
        <f>COUNTIFS($C:$C,M$1)</f>
        <v>74</v>
      </c>
      <c r="N2" s="556">
        <f>COUNTIFS($C:$C,N$1)</f>
        <v>21</v>
      </c>
    </row>
    <row r="3" spans="1:22" x14ac:dyDescent="0.25">
      <c r="A3" t="s">
        <v>152</v>
      </c>
      <c r="B3" s="556">
        <v>1</v>
      </c>
      <c r="C3" t="s">
        <v>1501</v>
      </c>
      <c r="D3" t="s">
        <v>1515</v>
      </c>
      <c r="E3" s="556">
        <f ca="1">VLOOKUP(A3,Data!C:I,7,FALSE)</f>
        <v>0</v>
      </c>
      <c r="F3" s="636" t="str">
        <f t="shared" ref="F3:F66" si="0">CONCATENATE($D3,$B3)</f>
        <v>PR.AC-11</v>
      </c>
      <c r="G3" s="636" t="str">
        <f t="shared" ref="G3:G66" ca="1" si="1">_xlfn.IFNA(CONCATENATE(F3,$E3),CONCATENATE(F3,$E3,0))</f>
        <v>PR.AC-110</v>
      </c>
      <c r="J3" s="556">
        <f ca="1">COUNTIFS($C:$C,J$1,$E:$E,1)</f>
        <v>0</v>
      </c>
      <c r="K3" s="556">
        <f ca="1">COUNTIFS($C:$C,K$1,$E:$E,1)</f>
        <v>0</v>
      </c>
      <c r="L3" s="556">
        <f ca="1">COUNTIFS($C:$C,L$1,$E:$E,1)</f>
        <v>0</v>
      </c>
      <c r="M3" s="556">
        <f ca="1">COUNTIFS($C:$C,M$1,$E:$E,1)</f>
        <v>0</v>
      </c>
      <c r="N3" s="556">
        <f ca="1">COUNTIFS($C:$C,N$1,$E:$E,1)</f>
        <v>0</v>
      </c>
    </row>
    <row r="4" spans="1:22" x14ac:dyDescent="0.25">
      <c r="A4" t="s">
        <v>153</v>
      </c>
      <c r="B4" s="556">
        <v>1</v>
      </c>
      <c r="C4" t="s">
        <v>1501</v>
      </c>
      <c r="D4" t="s">
        <v>1515</v>
      </c>
      <c r="E4" s="556">
        <f ca="1">VLOOKUP(A4,Data!C:I,7,FALSE)</f>
        <v>0</v>
      </c>
      <c r="F4" s="636" t="str">
        <f t="shared" si="0"/>
        <v>PR.AC-11</v>
      </c>
      <c r="G4" s="636" t="str">
        <f t="shared" ca="1" si="1"/>
        <v>PR.AC-110</v>
      </c>
    </row>
    <row r="5" spans="1:22" x14ac:dyDescent="0.25">
      <c r="A5" t="s">
        <v>154</v>
      </c>
      <c r="B5" s="556">
        <v>2</v>
      </c>
      <c r="C5" t="s">
        <v>1501</v>
      </c>
      <c r="D5" t="s">
        <v>1515</v>
      </c>
      <c r="E5" s="556">
        <f ca="1">VLOOKUP(A5,Data!C:I,7,FALSE)</f>
        <v>0</v>
      </c>
      <c r="F5" s="636" t="str">
        <f t="shared" si="0"/>
        <v>PR.AC-12</v>
      </c>
      <c r="G5" s="636" t="str">
        <f t="shared" ca="1" si="1"/>
        <v>PR.AC-120</v>
      </c>
      <c r="J5" t="s">
        <v>1622</v>
      </c>
      <c r="K5" t="s">
        <v>1623</v>
      </c>
      <c r="L5" t="s">
        <v>1624</v>
      </c>
      <c r="M5" t="s">
        <v>1625</v>
      </c>
      <c r="N5" t="s">
        <v>1626</v>
      </c>
      <c r="P5" s="557" t="s">
        <v>797</v>
      </c>
      <c r="Q5" s="558" t="s">
        <v>798</v>
      </c>
      <c r="R5" s="558" t="s">
        <v>799</v>
      </c>
      <c r="S5" s="559" t="s">
        <v>800</v>
      </c>
    </row>
    <row r="6" spans="1:22" x14ac:dyDescent="0.25">
      <c r="A6" t="s">
        <v>154</v>
      </c>
      <c r="B6" s="556">
        <v>2</v>
      </c>
      <c r="C6" t="s">
        <v>1501</v>
      </c>
      <c r="D6" t="s">
        <v>1516</v>
      </c>
      <c r="E6" s="556">
        <f ca="1">VLOOKUP(A6,Data!C:I,7,FALSE)</f>
        <v>0</v>
      </c>
      <c r="F6" s="636" t="str">
        <f t="shared" si="0"/>
        <v>PR.AC-62</v>
      </c>
      <c r="G6" s="636" t="str">
        <f t="shared" ca="1" si="1"/>
        <v>PR.AC-620</v>
      </c>
      <c r="J6" s="556" t="str">
        <f>IF(VLOOKUP(J$5,Languages!$A:$D,1,TRUE)=J$5,VLOOKUP(J$5,Languages!$A:$D,Summary!$C$7,TRUE),NA())</f>
        <v>Tunnistaminen</v>
      </c>
      <c r="K6" s="556" t="str">
        <f>IF(VLOOKUP(K$5,Languages!$A:$D,1,TRUE)=K$5,VLOOKUP(K$5,Languages!$A:$D,Summary!$C$7,TRUE),NA())</f>
        <v>Suojautuminen</v>
      </c>
      <c r="L6" s="556" t="str">
        <f>IF(VLOOKUP(L$5,Languages!$A:$D,1,TRUE)=L$5,VLOOKUP(L$5,Languages!$A:$D,Summary!$C$7,TRUE),NA())</f>
        <v>Havainnointi</v>
      </c>
      <c r="M6" s="556" t="str">
        <f>IF(VLOOKUP(M$5,Languages!$A:$D,1,TRUE)=M$5,VLOOKUP(M$5,Languages!$A:$D,Summary!$C$7,TRUE),NA())</f>
        <v>Reagointi</v>
      </c>
      <c r="N6" s="556" t="str">
        <f>IF(VLOOKUP(N$5,Languages!$A:$D,1,TRUE)=N$5,VLOOKUP(N$5,Languages!$A:$D,Summary!$C$7,TRUE),NA())</f>
        <v>Palautuminen</v>
      </c>
      <c r="P6" s="560">
        <v>0.3</v>
      </c>
      <c r="Q6" s="561">
        <v>0.3</v>
      </c>
      <c r="R6" s="561">
        <v>0.3</v>
      </c>
      <c r="S6" s="562">
        <v>0.1</v>
      </c>
    </row>
    <row r="7" spans="1:22" x14ac:dyDescent="0.25">
      <c r="A7" t="s">
        <v>155</v>
      </c>
      <c r="B7" s="556">
        <v>2</v>
      </c>
      <c r="C7" t="s">
        <v>1501</v>
      </c>
      <c r="D7" t="s">
        <v>1515</v>
      </c>
      <c r="E7" s="556">
        <f ca="1">VLOOKUP(A7,Data!C:I,7,FALSE)</f>
        <v>0</v>
      </c>
      <c r="F7" s="636" t="str">
        <f t="shared" si="0"/>
        <v>PR.AC-12</v>
      </c>
      <c r="G7" s="636" t="str">
        <f t="shared" ca="1" si="1"/>
        <v>PR.AC-120</v>
      </c>
      <c r="I7" t="s">
        <v>1505</v>
      </c>
      <c r="J7" s="565">
        <f ca="1">J3/J2</f>
        <v>0</v>
      </c>
      <c r="K7" s="565">
        <f ca="1">K3/K2</f>
        <v>0</v>
      </c>
      <c r="L7" s="565">
        <f ca="1">L3/L2</f>
        <v>0</v>
      </c>
      <c r="M7" s="565">
        <f ca="1">M3/M2</f>
        <v>0</v>
      </c>
      <c r="N7" s="565">
        <f ca="1">N3/N2</f>
        <v>0</v>
      </c>
      <c r="P7" s="118">
        <v>0.3</v>
      </c>
      <c r="Q7" s="95">
        <v>0.3</v>
      </c>
      <c r="R7" s="95">
        <v>0.3</v>
      </c>
      <c r="S7" s="106">
        <v>0.1</v>
      </c>
    </row>
    <row r="8" spans="1:22" x14ac:dyDescent="0.25">
      <c r="A8" t="s">
        <v>156</v>
      </c>
      <c r="B8" s="556">
        <v>2</v>
      </c>
      <c r="C8" t="s">
        <v>1501</v>
      </c>
      <c r="D8" t="s">
        <v>1515</v>
      </c>
      <c r="E8" s="556">
        <f ca="1">VLOOKUP(A8,Data!C:I,7,FALSE)</f>
        <v>0</v>
      </c>
      <c r="F8" s="636" t="str">
        <f t="shared" si="0"/>
        <v>PR.AC-12</v>
      </c>
      <c r="G8" s="636" t="str">
        <f t="shared" ca="1" si="1"/>
        <v>PR.AC-120</v>
      </c>
      <c r="J8" s="556"/>
      <c r="K8" s="556"/>
      <c r="L8" s="556"/>
      <c r="M8" s="556"/>
      <c r="N8" s="556"/>
      <c r="P8" s="118">
        <v>0.3</v>
      </c>
      <c r="Q8" s="95">
        <v>0.3</v>
      </c>
      <c r="R8" s="95">
        <v>0.3</v>
      </c>
      <c r="S8" s="106">
        <v>0.1</v>
      </c>
    </row>
    <row r="9" spans="1:22" x14ac:dyDescent="0.25">
      <c r="A9" t="s">
        <v>156</v>
      </c>
      <c r="B9" s="556">
        <v>2</v>
      </c>
      <c r="C9" t="s">
        <v>1501</v>
      </c>
      <c r="D9" t="s">
        <v>1517</v>
      </c>
      <c r="E9" s="556">
        <f ca="1">VLOOKUP(A9,Data!C:I,7,FALSE)</f>
        <v>0</v>
      </c>
      <c r="F9" s="636" t="str">
        <f t="shared" si="0"/>
        <v>PR.AC-72</v>
      </c>
      <c r="G9" s="636" t="str">
        <f t="shared" ca="1" si="1"/>
        <v>PR.AC-720</v>
      </c>
      <c r="I9" t="s">
        <v>795</v>
      </c>
      <c r="J9" s="566">
        <f>Import!K12</f>
        <v>0</v>
      </c>
      <c r="K9" s="566">
        <f>Import!K13</f>
        <v>0</v>
      </c>
      <c r="L9" s="566">
        <f>Import!K14</f>
        <v>0</v>
      </c>
      <c r="M9" s="566">
        <f>Import!K15</f>
        <v>0</v>
      </c>
      <c r="N9" s="566">
        <f>Import!K16</f>
        <v>0</v>
      </c>
      <c r="P9" s="118">
        <v>0.3</v>
      </c>
      <c r="Q9" s="95">
        <v>0.3</v>
      </c>
      <c r="R9" s="95">
        <v>0.3</v>
      </c>
      <c r="S9" s="106">
        <v>0.1</v>
      </c>
    </row>
    <row r="10" spans="1:22" x14ac:dyDescent="0.25">
      <c r="A10" t="s">
        <v>158</v>
      </c>
      <c r="B10" s="556">
        <v>1</v>
      </c>
      <c r="C10" t="s">
        <v>1501</v>
      </c>
      <c r="D10" t="s">
        <v>1518</v>
      </c>
      <c r="E10" s="556">
        <f ca="1">VLOOKUP(A10,Data!C:I,7,FALSE)</f>
        <v>0</v>
      </c>
      <c r="F10" s="636" t="str">
        <f t="shared" si="0"/>
        <v>PR.AC-31</v>
      </c>
      <c r="G10" s="636" t="str">
        <f t="shared" ca="1" si="1"/>
        <v>PR.AC-310</v>
      </c>
      <c r="I10" t="s">
        <v>1511</v>
      </c>
      <c r="J10" s="566">
        <f>Import!N12</f>
        <v>0</v>
      </c>
      <c r="K10" s="566">
        <f>Import!N13</f>
        <v>0</v>
      </c>
      <c r="L10" s="566">
        <f>Import!N14</f>
        <v>0</v>
      </c>
      <c r="M10" s="566">
        <f>Import!N15</f>
        <v>0</v>
      </c>
      <c r="N10" s="566">
        <f>Import!N16</f>
        <v>0</v>
      </c>
      <c r="P10" s="119">
        <v>0.3</v>
      </c>
      <c r="Q10" s="114">
        <v>0.3</v>
      </c>
      <c r="R10" s="114">
        <v>0.3</v>
      </c>
      <c r="S10" s="115">
        <v>0.1</v>
      </c>
    </row>
    <row r="11" spans="1:22" x14ac:dyDescent="0.25">
      <c r="A11" t="s">
        <v>158</v>
      </c>
      <c r="B11" s="556">
        <v>1</v>
      </c>
      <c r="C11" t="s">
        <v>1501</v>
      </c>
      <c r="D11" t="s">
        <v>1519</v>
      </c>
      <c r="E11" s="556">
        <f ca="1">VLOOKUP(A11,Data!C:I,7,FALSE)</f>
        <v>0</v>
      </c>
      <c r="F11" s="636" t="str">
        <f t="shared" si="0"/>
        <v>PR.PT-21</v>
      </c>
      <c r="G11" s="636" t="str">
        <f t="shared" ca="1" si="1"/>
        <v>PR.PT-210</v>
      </c>
    </row>
    <row r="12" spans="1:22" x14ac:dyDescent="0.25">
      <c r="A12" t="s">
        <v>158</v>
      </c>
      <c r="B12" s="556">
        <v>1</v>
      </c>
      <c r="C12" t="s">
        <v>1501</v>
      </c>
      <c r="D12" t="s">
        <v>1520</v>
      </c>
      <c r="E12" s="556">
        <f ca="1">VLOOKUP(A12,Data!C:I,7,FALSE)</f>
        <v>0</v>
      </c>
      <c r="F12" s="636" t="str">
        <f t="shared" si="0"/>
        <v>PR.PT-31</v>
      </c>
      <c r="G12" s="636" t="str">
        <f t="shared" ca="1" si="1"/>
        <v>PR.PT-310</v>
      </c>
    </row>
    <row r="13" spans="1:22" x14ac:dyDescent="0.25">
      <c r="A13" t="s">
        <v>159</v>
      </c>
      <c r="B13" s="556">
        <v>1</v>
      </c>
      <c r="C13" t="s">
        <v>1501</v>
      </c>
      <c r="D13" t="s">
        <v>1518</v>
      </c>
      <c r="E13" s="556">
        <f ca="1">VLOOKUP(A13,Data!C:I,7,FALSE)</f>
        <v>0</v>
      </c>
      <c r="F13" s="636" t="str">
        <f t="shared" si="0"/>
        <v>PR.AC-31</v>
      </c>
      <c r="G13" s="636" t="str">
        <f t="shared" ca="1" si="1"/>
        <v>PR.AC-310</v>
      </c>
    </row>
    <row r="14" spans="1:22" x14ac:dyDescent="0.25">
      <c r="A14" t="s">
        <v>159</v>
      </c>
      <c r="B14" s="556">
        <v>1</v>
      </c>
      <c r="C14" t="s">
        <v>1501</v>
      </c>
      <c r="D14" t="s">
        <v>1521</v>
      </c>
      <c r="E14" s="556">
        <f ca="1">VLOOKUP(A14,Data!C:I,7,FALSE)</f>
        <v>0</v>
      </c>
      <c r="F14" s="636" t="str">
        <f t="shared" si="0"/>
        <v>PR.MA-21</v>
      </c>
      <c r="G14" s="636" t="str">
        <f t="shared" ca="1" si="1"/>
        <v>PR.MA-210</v>
      </c>
    </row>
    <row r="15" spans="1:22" x14ac:dyDescent="0.25">
      <c r="A15" t="s">
        <v>159</v>
      </c>
      <c r="B15" s="556">
        <v>1</v>
      </c>
      <c r="C15" t="s">
        <v>1501</v>
      </c>
      <c r="D15" t="s">
        <v>1519</v>
      </c>
      <c r="E15" s="556">
        <f ca="1">VLOOKUP(A15,Data!C:I,7,FALSE)</f>
        <v>0</v>
      </c>
      <c r="F15" s="636" t="str">
        <f t="shared" si="0"/>
        <v>PR.PT-21</v>
      </c>
      <c r="G15" s="636" t="str">
        <f t="shared" ca="1" si="1"/>
        <v>PR.PT-210</v>
      </c>
      <c r="I15" s="101" t="s">
        <v>601</v>
      </c>
      <c r="J15" s="631" t="s">
        <v>446</v>
      </c>
      <c r="K15" s="631" t="s">
        <v>1873</v>
      </c>
      <c r="L15" s="631" t="s">
        <v>1875</v>
      </c>
      <c r="M15" s="631" t="s">
        <v>1874</v>
      </c>
      <c r="N15" s="632">
        <v>1</v>
      </c>
      <c r="O15" s="631" t="s">
        <v>1875</v>
      </c>
      <c r="P15" s="631" t="s">
        <v>1874</v>
      </c>
      <c r="Q15" s="632">
        <v>2</v>
      </c>
      <c r="R15" s="631" t="s">
        <v>1875</v>
      </c>
      <c r="S15" s="631" t="s">
        <v>1874</v>
      </c>
      <c r="T15" s="632">
        <v>3</v>
      </c>
      <c r="U15" s="631" t="s">
        <v>1875</v>
      </c>
      <c r="V15" s="631" t="s">
        <v>1874</v>
      </c>
    </row>
    <row r="16" spans="1:22" x14ac:dyDescent="0.25">
      <c r="A16" t="s">
        <v>159</v>
      </c>
      <c r="B16" s="556">
        <v>1</v>
      </c>
      <c r="C16" t="s">
        <v>1501</v>
      </c>
      <c r="D16" t="s">
        <v>1520</v>
      </c>
      <c r="E16" s="556">
        <f ca="1">VLOOKUP(A16,Data!C:I,7,FALSE)</f>
        <v>0</v>
      </c>
      <c r="F16" s="636" t="str">
        <f t="shared" si="0"/>
        <v>PR.PT-31</v>
      </c>
      <c r="G16" s="636" t="str">
        <f t="shared" ca="1" si="1"/>
        <v>PR.PT-310</v>
      </c>
      <c r="I16" s="24" t="s">
        <v>1694</v>
      </c>
      <c r="J16" s="24" t="s">
        <v>1548</v>
      </c>
      <c r="K16" s="637">
        <f ca="1">IF(L16=0,0,M16/L16)</f>
        <v>0</v>
      </c>
      <c r="L16" s="638">
        <f>SUM(O16+R16+U16)</f>
        <v>8</v>
      </c>
      <c r="M16" s="638">
        <f ca="1">SUM(P16+S16+V16)</f>
        <v>0</v>
      </c>
      <c r="N16" s="637">
        <f ca="1">IF(O16=0,0,P16/O16)</f>
        <v>0</v>
      </c>
      <c r="O16" s="638">
        <f>COUNTIF($F:$F,CONCATENATE($J16,N$15))</f>
        <v>4</v>
      </c>
      <c r="P16" s="638">
        <f ca="1">COUNTIF($G:$G,CONCATENATE($J16,N$15,1))</f>
        <v>0</v>
      </c>
      <c r="Q16" s="637">
        <f ca="1">IF(R16=0,0,S16/R16)</f>
        <v>0</v>
      </c>
      <c r="R16" s="638">
        <f>COUNTIF($F:$F,CONCATENATE($J16,Q$15))</f>
        <v>2</v>
      </c>
      <c r="S16" s="638">
        <f ca="1">COUNTIF($G:$G,CONCATENATE($J16,Q$15,1))</f>
        <v>0</v>
      </c>
      <c r="T16" s="637">
        <f ca="1">IF(U16=0,0,V16/U16)</f>
        <v>0</v>
      </c>
      <c r="U16" s="638">
        <f>COUNTIF($F:$F,CONCATENATE($J16,T$15))</f>
        <v>2</v>
      </c>
      <c r="V16" s="638">
        <f ca="1">COUNTIF($G:$G,CONCATENATE($J16,T$15,1))</f>
        <v>0</v>
      </c>
    </row>
    <row r="17" spans="1:22" x14ac:dyDescent="0.25">
      <c r="A17" t="s">
        <v>160</v>
      </c>
      <c r="B17" s="556">
        <v>2</v>
      </c>
      <c r="C17" t="s">
        <v>1501</v>
      </c>
      <c r="D17" t="s">
        <v>1518</v>
      </c>
      <c r="E17" s="556">
        <f ca="1">VLOOKUP(A17,Data!C:I,7,FALSE)</f>
        <v>0</v>
      </c>
      <c r="F17" s="636" t="str">
        <f t="shared" si="0"/>
        <v>PR.AC-32</v>
      </c>
      <c r="G17" s="636" t="str">
        <f t="shared" ca="1" si="1"/>
        <v>PR.AC-320</v>
      </c>
      <c r="I17" s="24"/>
      <c r="J17" s="24" t="s">
        <v>1549</v>
      </c>
      <c r="K17" s="637">
        <f t="shared" ref="K17:K80" ca="1" si="2">IF(L17=0,0,M17/L17)</f>
        <v>0</v>
      </c>
      <c r="L17" s="638">
        <f t="shared" ref="L17:L80" si="3">SUM(O17+R17+U17)</f>
        <v>8</v>
      </c>
      <c r="M17" s="638">
        <f t="shared" ref="M17:M80" ca="1" si="4">SUM(P17+S17+V17)</f>
        <v>0</v>
      </c>
      <c r="N17" s="637">
        <f t="shared" ref="N17:N80" ca="1" si="5">IF(O17=0,0,P17/O17)</f>
        <v>0</v>
      </c>
      <c r="O17" s="638">
        <f t="shared" ref="O17:O80" si="6">COUNTIF($F:$F,CONCATENATE($J17,N$15))</f>
        <v>3</v>
      </c>
      <c r="P17" s="638">
        <f t="shared" ref="P17:P80" ca="1" si="7">COUNTIF($G:$G,CONCATENATE($J17,N$15,1))</f>
        <v>0</v>
      </c>
      <c r="Q17" s="637">
        <f t="shared" ref="Q17:Q80" ca="1" si="8">IF(R17=0,0,S17/R17)</f>
        <v>0</v>
      </c>
      <c r="R17" s="638">
        <f t="shared" ref="R17:R80" si="9">COUNTIF($F:$F,CONCATENATE($J17,Q$15))</f>
        <v>3</v>
      </c>
      <c r="S17" s="638">
        <f t="shared" ref="S17:S80" ca="1" si="10">COUNTIF($G:$G,CONCATENATE($J17,Q$15,1))</f>
        <v>0</v>
      </c>
      <c r="T17" s="637">
        <f t="shared" ref="T17:T80" ca="1" si="11">IF(U17=0,0,V17/U17)</f>
        <v>0</v>
      </c>
      <c r="U17" s="638">
        <f t="shared" ref="U17:U80" si="12">COUNTIF($F:$F,CONCATENATE($J17,T$15))</f>
        <v>2</v>
      </c>
      <c r="V17" s="638">
        <f t="shared" ref="V17:V80" ca="1" si="13">COUNTIF($G:$G,CONCATENATE($J17,T$15,1))</f>
        <v>0</v>
      </c>
    </row>
    <row r="18" spans="1:22" x14ac:dyDescent="0.25">
      <c r="A18" t="s">
        <v>160</v>
      </c>
      <c r="B18" s="556">
        <v>2</v>
      </c>
      <c r="C18" t="s">
        <v>1501</v>
      </c>
      <c r="D18" t="s">
        <v>1517</v>
      </c>
      <c r="E18" s="556">
        <f ca="1">VLOOKUP(A18,Data!C:I,7,FALSE)</f>
        <v>0</v>
      </c>
      <c r="F18" s="636" t="str">
        <f t="shared" si="0"/>
        <v>PR.AC-72</v>
      </c>
      <c r="G18" s="636" t="str">
        <f t="shared" ca="1" si="1"/>
        <v>PR.AC-720</v>
      </c>
      <c r="I18" s="24"/>
      <c r="J18" s="24" t="s">
        <v>1554</v>
      </c>
      <c r="K18" s="637">
        <f t="shared" ca="1" si="2"/>
        <v>0</v>
      </c>
      <c r="L18" s="638">
        <f t="shared" si="3"/>
        <v>8</v>
      </c>
      <c r="M18" s="638">
        <f t="shared" ca="1" si="4"/>
        <v>0</v>
      </c>
      <c r="N18" s="637">
        <f t="shared" ca="1" si="5"/>
        <v>0</v>
      </c>
      <c r="O18" s="638">
        <f t="shared" si="6"/>
        <v>4</v>
      </c>
      <c r="P18" s="638">
        <f t="shared" ca="1" si="7"/>
        <v>0</v>
      </c>
      <c r="Q18" s="637">
        <f t="shared" ca="1" si="8"/>
        <v>0</v>
      </c>
      <c r="R18" s="638">
        <f t="shared" si="9"/>
        <v>2</v>
      </c>
      <c r="S18" s="638">
        <f t="shared" ca="1" si="10"/>
        <v>0</v>
      </c>
      <c r="T18" s="637">
        <f t="shared" ca="1" si="11"/>
        <v>0</v>
      </c>
      <c r="U18" s="638">
        <f t="shared" si="12"/>
        <v>2</v>
      </c>
      <c r="V18" s="638">
        <f t="shared" ca="1" si="13"/>
        <v>0</v>
      </c>
    </row>
    <row r="19" spans="1:22" x14ac:dyDescent="0.25">
      <c r="A19" t="s">
        <v>160</v>
      </c>
      <c r="B19" s="556">
        <v>2</v>
      </c>
      <c r="C19" t="s">
        <v>1501</v>
      </c>
      <c r="D19" t="s">
        <v>1521</v>
      </c>
      <c r="E19" s="556">
        <f ca="1">VLOOKUP(A19,Data!C:I,7,FALSE)</f>
        <v>0</v>
      </c>
      <c r="F19" s="636" t="str">
        <f t="shared" si="0"/>
        <v>PR.MA-22</v>
      </c>
      <c r="G19" s="636" t="str">
        <f t="shared" ca="1" si="1"/>
        <v>PR.MA-220</v>
      </c>
      <c r="I19" s="24"/>
      <c r="J19" s="24" t="s">
        <v>1560</v>
      </c>
      <c r="K19" s="637">
        <f t="shared" ca="1" si="2"/>
        <v>0</v>
      </c>
      <c r="L19" s="638">
        <f t="shared" si="3"/>
        <v>5</v>
      </c>
      <c r="M19" s="638">
        <f t="shared" ca="1" si="4"/>
        <v>0</v>
      </c>
      <c r="N19" s="637">
        <f t="shared" ca="1" si="5"/>
        <v>0</v>
      </c>
      <c r="O19" s="638">
        <f t="shared" si="6"/>
        <v>4</v>
      </c>
      <c r="P19" s="638">
        <f t="shared" ca="1" si="7"/>
        <v>0</v>
      </c>
      <c r="Q19" s="637">
        <f t="shared" ca="1" si="8"/>
        <v>0</v>
      </c>
      <c r="R19" s="638">
        <f t="shared" si="9"/>
        <v>1</v>
      </c>
      <c r="S19" s="638">
        <f t="shared" ca="1" si="10"/>
        <v>0</v>
      </c>
      <c r="T19" s="637">
        <f t="shared" si="11"/>
        <v>0</v>
      </c>
      <c r="U19" s="638">
        <f t="shared" si="12"/>
        <v>0</v>
      </c>
      <c r="V19" s="638">
        <f t="shared" ca="1" si="13"/>
        <v>0</v>
      </c>
    </row>
    <row r="20" spans="1:22" x14ac:dyDescent="0.25">
      <c r="A20" t="s">
        <v>160</v>
      </c>
      <c r="B20" s="556">
        <v>2</v>
      </c>
      <c r="C20" t="s">
        <v>1501</v>
      </c>
      <c r="D20" t="s">
        <v>1519</v>
      </c>
      <c r="E20" s="556">
        <f ca="1">VLOOKUP(A20,Data!C:I,7,FALSE)</f>
        <v>0</v>
      </c>
      <c r="F20" s="636" t="str">
        <f t="shared" si="0"/>
        <v>PR.PT-22</v>
      </c>
      <c r="G20" s="636" t="str">
        <f t="shared" ca="1" si="1"/>
        <v>PR.PT-220</v>
      </c>
      <c r="I20" s="24"/>
      <c r="J20" s="24" t="s">
        <v>1550</v>
      </c>
      <c r="K20" s="637">
        <f t="shared" ca="1" si="2"/>
        <v>0</v>
      </c>
      <c r="L20" s="638">
        <f t="shared" si="3"/>
        <v>12</v>
      </c>
      <c r="M20" s="638">
        <f t="shared" ca="1" si="4"/>
        <v>0</v>
      </c>
      <c r="N20" s="637">
        <f t="shared" ca="1" si="5"/>
        <v>0</v>
      </c>
      <c r="O20" s="638">
        <f t="shared" si="6"/>
        <v>2</v>
      </c>
      <c r="P20" s="638">
        <f t="shared" ca="1" si="7"/>
        <v>0</v>
      </c>
      <c r="Q20" s="637">
        <f t="shared" ca="1" si="8"/>
        <v>0</v>
      </c>
      <c r="R20" s="638">
        <f t="shared" si="9"/>
        <v>8</v>
      </c>
      <c r="S20" s="638">
        <f t="shared" ca="1" si="10"/>
        <v>0</v>
      </c>
      <c r="T20" s="637">
        <f t="shared" ca="1" si="11"/>
        <v>0</v>
      </c>
      <c r="U20" s="638">
        <f t="shared" si="12"/>
        <v>2</v>
      </c>
      <c r="V20" s="638">
        <f t="shared" ca="1" si="13"/>
        <v>0</v>
      </c>
    </row>
    <row r="21" spans="1:22" x14ac:dyDescent="0.25">
      <c r="A21" t="s">
        <v>160</v>
      </c>
      <c r="B21" s="556">
        <v>2</v>
      </c>
      <c r="C21" t="s">
        <v>1501</v>
      </c>
      <c r="D21" t="s">
        <v>1520</v>
      </c>
      <c r="E21" s="556">
        <f ca="1">VLOOKUP(A21,Data!C:I,7,FALSE)</f>
        <v>0</v>
      </c>
      <c r="F21" s="636" t="str">
        <f t="shared" si="0"/>
        <v>PR.PT-32</v>
      </c>
      <c r="G21" s="636" t="str">
        <f t="shared" ca="1" si="1"/>
        <v>PR.PT-320</v>
      </c>
      <c r="I21" s="24"/>
      <c r="J21" s="24" t="s">
        <v>1529</v>
      </c>
      <c r="K21" s="637">
        <f t="shared" ca="1" si="2"/>
        <v>0</v>
      </c>
      <c r="L21" s="638">
        <f t="shared" si="3"/>
        <v>15</v>
      </c>
      <c r="M21" s="638">
        <f t="shared" ca="1" si="4"/>
        <v>0</v>
      </c>
      <c r="N21" s="637">
        <f t="shared" ca="1" si="5"/>
        <v>0</v>
      </c>
      <c r="O21" s="638">
        <f t="shared" si="6"/>
        <v>2</v>
      </c>
      <c r="P21" s="638">
        <f t="shared" ca="1" si="7"/>
        <v>0</v>
      </c>
      <c r="Q21" s="637">
        <f t="shared" ca="1" si="8"/>
        <v>0</v>
      </c>
      <c r="R21" s="638">
        <f t="shared" si="9"/>
        <v>3</v>
      </c>
      <c r="S21" s="638">
        <f t="shared" ca="1" si="10"/>
        <v>0</v>
      </c>
      <c r="T21" s="637">
        <f t="shared" ca="1" si="11"/>
        <v>0</v>
      </c>
      <c r="U21" s="638">
        <f t="shared" si="12"/>
        <v>10</v>
      </c>
      <c r="V21" s="638">
        <f t="shared" ca="1" si="13"/>
        <v>0</v>
      </c>
    </row>
    <row r="22" spans="1:22" x14ac:dyDescent="0.25">
      <c r="A22" t="s">
        <v>161</v>
      </c>
      <c r="B22" s="556">
        <v>2</v>
      </c>
      <c r="C22" t="s">
        <v>1501</v>
      </c>
      <c r="D22" t="s">
        <v>1518</v>
      </c>
      <c r="E22" s="556">
        <f ca="1">VLOOKUP(A22,Data!C:I,7,FALSE)</f>
        <v>0</v>
      </c>
      <c r="F22" s="636" t="str">
        <f t="shared" si="0"/>
        <v>PR.AC-32</v>
      </c>
      <c r="G22" s="636" t="str">
        <f t="shared" ca="1" si="1"/>
        <v>PR.AC-320</v>
      </c>
      <c r="I22" s="24" t="s">
        <v>1704</v>
      </c>
      <c r="J22" s="24" t="s">
        <v>1561</v>
      </c>
      <c r="K22" s="637">
        <f t="shared" ca="1" si="2"/>
        <v>0</v>
      </c>
      <c r="L22" s="638">
        <f t="shared" si="3"/>
        <v>4</v>
      </c>
      <c r="M22" s="638">
        <f t="shared" ca="1" si="4"/>
        <v>0</v>
      </c>
      <c r="N22" s="637">
        <f t="shared" ca="1" si="5"/>
        <v>0</v>
      </c>
      <c r="O22" s="638">
        <f t="shared" si="6"/>
        <v>2</v>
      </c>
      <c r="P22" s="638">
        <f t="shared" ca="1" si="7"/>
        <v>0</v>
      </c>
      <c r="Q22" s="637">
        <f t="shared" ca="1" si="8"/>
        <v>0</v>
      </c>
      <c r="R22" s="638">
        <f t="shared" si="9"/>
        <v>2</v>
      </c>
      <c r="S22" s="638">
        <f t="shared" ca="1" si="10"/>
        <v>0</v>
      </c>
      <c r="T22" s="637">
        <f t="shared" si="11"/>
        <v>0</v>
      </c>
      <c r="U22" s="638">
        <f t="shared" si="12"/>
        <v>0</v>
      </c>
      <c r="V22" s="638">
        <f t="shared" ca="1" si="13"/>
        <v>0</v>
      </c>
    </row>
    <row r="23" spans="1:22" x14ac:dyDescent="0.25">
      <c r="A23" t="s">
        <v>161</v>
      </c>
      <c r="B23" s="556">
        <v>2</v>
      </c>
      <c r="C23" t="s">
        <v>1501</v>
      </c>
      <c r="D23" t="s">
        <v>1522</v>
      </c>
      <c r="E23" s="556">
        <f ca="1">VLOOKUP(A23,Data!C:I,7,FALSE)</f>
        <v>0</v>
      </c>
      <c r="F23" s="636" t="str">
        <f t="shared" si="0"/>
        <v>PR.AC-42</v>
      </c>
      <c r="G23" s="636" t="str">
        <f t="shared" ca="1" si="1"/>
        <v>PR.AC-420</v>
      </c>
      <c r="I23" s="24"/>
      <c r="J23" s="24" t="s">
        <v>1559</v>
      </c>
      <c r="K23" s="637">
        <f t="shared" ca="1" si="2"/>
        <v>0</v>
      </c>
      <c r="L23" s="638">
        <f t="shared" si="3"/>
        <v>4</v>
      </c>
      <c r="M23" s="638">
        <f t="shared" ca="1" si="4"/>
        <v>0</v>
      </c>
      <c r="N23" s="637">
        <f t="shared" ca="1" si="5"/>
        <v>0</v>
      </c>
      <c r="O23" s="638">
        <f t="shared" si="6"/>
        <v>1</v>
      </c>
      <c r="P23" s="638">
        <f t="shared" ca="1" si="7"/>
        <v>0</v>
      </c>
      <c r="Q23" s="637">
        <f t="shared" ca="1" si="8"/>
        <v>0</v>
      </c>
      <c r="R23" s="638">
        <f t="shared" si="9"/>
        <v>1</v>
      </c>
      <c r="S23" s="638">
        <f t="shared" ca="1" si="10"/>
        <v>0</v>
      </c>
      <c r="T23" s="637">
        <f t="shared" ca="1" si="11"/>
        <v>0</v>
      </c>
      <c r="U23" s="638">
        <f t="shared" si="12"/>
        <v>2</v>
      </c>
      <c r="V23" s="638">
        <f t="shared" ca="1" si="13"/>
        <v>0</v>
      </c>
    </row>
    <row r="24" spans="1:22" x14ac:dyDescent="0.25">
      <c r="A24" t="s">
        <v>161</v>
      </c>
      <c r="B24" s="556">
        <v>2</v>
      </c>
      <c r="C24" t="s">
        <v>1501</v>
      </c>
      <c r="D24" t="s">
        <v>1521</v>
      </c>
      <c r="E24" s="556">
        <f ca="1">VLOOKUP(A24,Data!C:I,7,FALSE)</f>
        <v>0</v>
      </c>
      <c r="F24" s="636" t="str">
        <f t="shared" si="0"/>
        <v>PR.MA-22</v>
      </c>
      <c r="G24" s="636" t="str">
        <f t="shared" ca="1" si="1"/>
        <v>PR.MA-220</v>
      </c>
      <c r="I24" s="24"/>
      <c r="J24" s="24" t="s">
        <v>1564</v>
      </c>
      <c r="K24" s="637">
        <f t="shared" ca="1" si="2"/>
        <v>0</v>
      </c>
      <c r="L24" s="638">
        <f t="shared" si="3"/>
        <v>4</v>
      </c>
      <c r="M24" s="638">
        <f t="shared" ca="1" si="4"/>
        <v>0</v>
      </c>
      <c r="N24" s="637">
        <f t="shared" si="5"/>
        <v>0</v>
      </c>
      <c r="O24" s="638">
        <f t="shared" si="6"/>
        <v>0</v>
      </c>
      <c r="P24" s="638">
        <f t="shared" ca="1" si="7"/>
        <v>0</v>
      </c>
      <c r="Q24" s="637">
        <f t="shared" ca="1" si="8"/>
        <v>0</v>
      </c>
      <c r="R24" s="638">
        <f t="shared" si="9"/>
        <v>2</v>
      </c>
      <c r="S24" s="638">
        <f t="shared" ca="1" si="10"/>
        <v>0</v>
      </c>
      <c r="T24" s="637">
        <f t="shared" ca="1" si="11"/>
        <v>0</v>
      </c>
      <c r="U24" s="638">
        <f t="shared" si="12"/>
        <v>2</v>
      </c>
      <c r="V24" s="638">
        <f t="shared" ca="1" si="13"/>
        <v>0</v>
      </c>
    </row>
    <row r="25" spans="1:22" x14ac:dyDescent="0.25">
      <c r="A25" t="s">
        <v>161</v>
      </c>
      <c r="B25" s="556">
        <v>2</v>
      </c>
      <c r="C25" t="s">
        <v>1501</v>
      </c>
      <c r="D25" t="s">
        <v>1520</v>
      </c>
      <c r="E25" s="556">
        <f ca="1">VLOOKUP(A25,Data!C:I,7,FALSE)</f>
        <v>0</v>
      </c>
      <c r="F25" s="636" t="str">
        <f t="shared" si="0"/>
        <v>PR.PT-32</v>
      </c>
      <c r="G25" s="636" t="str">
        <f t="shared" ca="1" si="1"/>
        <v>PR.PT-320</v>
      </c>
      <c r="I25" s="24"/>
      <c r="J25" s="24" t="s">
        <v>1551</v>
      </c>
      <c r="K25" s="637">
        <f t="shared" ca="1" si="2"/>
        <v>0</v>
      </c>
      <c r="L25" s="638">
        <f t="shared" si="3"/>
        <v>31</v>
      </c>
      <c r="M25" s="638">
        <f t="shared" ca="1" si="4"/>
        <v>0</v>
      </c>
      <c r="N25" s="637">
        <f t="shared" ca="1" si="5"/>
        <v>0</v>
      </c>
      <c r="O25" s="638">
        <f t="shared" si="6"/>
        <v>10</v>
      </c>
      <c r="P25" s="638">
        <f t="shared" ca="1" si="7"/>
        <v>0</v>
      </c>
      <c r="Q25" s="637">
        <f t="shared" ca="1" si="8"/>
        <v>0</v>
      </c>
      <c r="R25" s="638">
        <f t="shared" si="9"/>
        <v>13</v>
      </c>
      <c r="S25" s="638">
        <f t="shared" ca="1" si="10"/>
        <v>0</v>
      </c>
      <c r="T25" s="637">
        <f t="shared" ca="1" si="11"/>
        <v>0</v>
      </c>
      <c r="U25" s="638">
        <f t="shared" si="12"/>
        <v>8</v>
      </c>
      <c r="V25" s="638">
        <f t="shared" ca="1" si="13"/>
        <v>0</v>
      </c>
    </row>
    <row r="26" spans="1:22" x14ac:dyDescent="0.25">
      <c r="A26" t="s">
        <v>162</v>
      </c>
      <c r="B26" s="556">
        <v>2</v>
      </c>
      <c r="C26" t="s">
        <v>1501</v>
      </c>
      <c r="D26" t="s">
        <v>1518</v>
      </c>
      <c r="E26" s="556">
        <f ca="1">VLOOKUP(A26,Data!C:I,7,FALSE)</f>
        <v>0</v>
      </c>
      <c r="F26" s="636" t="str">
        <f t="shared" si="0"/>
        <v>PR.AC-32</v>
      </c>
      <c r="G26" s="636" t="str">
        <f t="shared" ca="1" si="1"/>
        <v>PR.AC-320</v>
      </c>
      <c r="I26" s="24"/>
      <c r="J26" s="24" t="s">
        <v>1568</v>
      </c>
      <c r="K26" s="637">
        <f t="shared" ca="1" si="2"/>
        <v>0</v>
      </c>
      <c r="L26" s="638">
        <f t="shared" si="3"/>
        <v>15</v>
      </c>
      <c r="M26" s="638">
        <f t="shared" ca="1" si="4"/>
        <v>0</v>
      </c>
      <c r="N26" s="637">
        <f t="shared" ca="1" si="5"/>
        <v>0</v>
      </c>
      <c r="O26" s="638">
        <f t="shared" si="6"/>
        <v>6</v>
      </c>
      <c r="P26" s="638">
        <f t="shared" ca="1" si="7"/>
        <v>0</v>
      </c>
      <c r="Q26" s="637">
        <f t="shared" ca="1" si="8"/>
        <v>0</v>
      </c>
      <c r="R26" s="638">
        <f t="shared" si="9"/>
        <v>6</v>
      </c>
      <c r="S26" s="638">
        <f t="shared" ca="1" si="10"/>
        <v>0</v>
      </c>
      <c r="T26" s="637">
        <f t="shared" ca="1" si="11"/>
        <v>0</v>
      </c>
      <c r="U26" s="638">
        <f t="shared" si="12"/>
        <v>3</v>
      </c>
      <c r="V26" s="638">
        <f t="shared" ca="1" si="13"/>
        <v>0</v>
      </c>
    </row>
    <row r="27" spans="1:22" x14ac:dyDescent="0.25">
      <c r="A27" t="s">
        <v>162</v>
      </c>
      <c r="B27" s="556">
        <v>2</v>
      </c>
      <c r="C27" t="s">
        <v>1501</v>
      </c>
      <c r="D27" t="s">
        <v>1522</v>
      </c>
      <c r="E27" s="556">
        <f ca="1">VLOOKUP(A27,Data!C:I,7,FALSE)</f>
        <v>0</v>
      </c>
      <c r="F27" s="636" t="str">
        <f t="shared" si="0"/>
        <v>PR.AC-42</v>
      </c>
      <c r="G27" s="636" t="str">
        <f t="shared" ca="1" si="1"/>
        <v>PR.AC-420</v>
      </c>
      <c r="I27" s="24" t="s">
        <v>1712</v>
      </c>
      <c r="J27" s="24" t="s">
        <v>1562</v>
      </c>
      <c r="K27" s="637">
        <f t="shared" ca="1" si="2"/>
        <v>0</v>
      </c>
      <c r="L27" s="638">
        <f t="shared" si="3"/>
        <v>5</v>
      </c>
      <c r="M27" s="638">
        <f t="shared" ca="1" si="4"/>
        <v>0</v>
      </c>
      <c r="N27" s="637">
        <f t="shared" ca="1" si="5"/>
        <v>0</v>
      </c>
      <c r="O27" s="638">
        <f t="shared" si="6"/>
        <v>2</v>
      </c>
      <c r="P27" s="638">
        <f t="shared" ca="1" si="7"/>
        <v>0</v>
      </c>
      <c r="Q27" s="637">
        <f t="shared" ca="1" si="8"/>
        <v>0</v>
      </c>
      <c r="R27" s="638">
        <f t="shared" si="9"/>
        <v>2</v>
      </c>
      <c r="S27" s="638">
        <f t="shared" ca="1" si="10"/>
        <v>0</v>
      </c>
      <c r="T27" s="637">
        <f t="shared" ca="1" si="11"/>
        <v>0</v>
      </c>
      <c r="U27" s="638">
        <f t="shared" si="12"/>
        <v>1</v>
      </c>
      <c r="V27" s="638">
        <f t="shared" ca="1" si="13"/>
        <v>0</v>
      </c>
    </row>
    <row r="28" spans="1:22" x14ac:dyDescent="0.25">
      <c r="A28" t="s">
        <v>162</v>
      </c>
      <c r="B28" s="556">
        <v>2</v>
      </c>
      <c r="C28" t="s">
        <v>1501</v>
      </c>
      <c r="D28" t="s">
        <v>1521</v>
      </c>
      <c r="E28" s="556">
        <f ca="1">VLOOKUP(A28,Data!C:I,7,FALSE)</f>
        <v>0</v>
      </c>
      <c r="F28" s="636" t="str">
        <f t="shared" si="0"/>
        <v>PR.MA-22</v>
      </c>
      <c r="G28" s="636" t="str">
        <f t="shared" ca="1" si="1"/>
        <v>PR.MA-220</v>
      </c>
      <c r="I28" s="24"/>
      <c r="J28" s="24" t="s">
        <v>1530</v>
      </c>
      <c r="K28" s="637">
        <f t="shared" ca="1" si="2"/>
        <v>0</v>
      </c>
      <c r="L28" s="638">
        <f t="shared" si="3"/>
        <v>15</v>
      </c>
      <c r="M28" s="638">
        <f t="shared" ca="1" si="4"/>
        <v>0</v>
      </c>
      <c r="N28" s="637">
        <f t="shared" ca="1" si="5"/>
        <v>0</v>
      </c>
      <c r="O28" s="638">
        <f t="shared" si="6"/>
        <v>2</v>
      </c>
      <c r="P28" s="638">
        <f t="shared" ca="1" si="7"/>
        <v>0</v>
      </c>
      <c r="Q28" s="637">
        <f t="shared" ca="1" si="8"/>
        <v>0</v>
      </c>
      <c r="R28" s="638">
        <f t="shared" si="9"/>
        <v>1</v>
      </c>
      <c r="S28" s="638">
        <f t="shared" ca="1" si="10"/>
        <v>0</v>
      </c>
      <c r="T28" s="637">
        <f t="shared" ca="1" si="11"/>
        <v>0</v>
      </c>
      <c r="U28" s="638">
        <f t="shared" si="12"/>
        <v>12</v>
      </c>
      <c r="V28" s="638">
        <f t="shared" ca="1" si="13"/>
        <v>0</v>
      </c>
    </row>
    <row r="29" spans="1:22" x14ac:dyDescent="0.25">
      <c r="A29" t="s">
        <v>162</v>
      </c>
      <c r="B29" s="556">
        <v>2</v>
      </c>
      <c r="C29" t="s">
        <v>1501</v>
      </c>
      <c r="D29" t="s">
        <v>1520</v>
      </c>
      <c r="E29" s="556">
        <f ca="1">VLOOKUP(A29,Data!C:I,7,FALSE)</f>
        <v>0</v>
      </c>
      <c r="F29" s="636" t="str">
        <f t="shared" si="0"/>
        <v>PR.PT-32</v>
      </c>
      <c r="G29" s="636" t="str">
        <f t="shared" ca="1" si="1"/>
        <v>PR.PT-320</v>
      </c>
      <c r="I29" s="24"/>
      <c r="J29" s="24" t="s">
        <v>1576</v>
      </c>
      <c r="K29" s="637">
        <f t="shared" ca="1" si="2"/>
        <v>0</v>
      </c>
      <c r="L29" s="638">
        <f t="shared" si="3"/>
        <v>3</v>
      </c>
      <c r="M29" s="638">
        <f t="shared" ca="1" si="4"/>
        <v>0</v>
      </c>
      <c r="N29" s="637">
        <f t="shared" si="5"/>
        <v>0</v>
      </c>
      <c r="O29" s="638">
        <f t="shared" si="6"/>
        <v>0</v>
      </c>
      <c r="P29" s="638">
        <f t="shared" ca="1" si="7"/>
        <v>0</v>
      </c>
      <c r="Q29" s="637">
        <f t="shared" ca="1" si="8"/>
        <v>0</v>
      </c>
      <c r="R29" s="638">
        <f t="shared" si="9"/>
        <v>1</v>
      </c>
      <c r="S29" s="638">
        <f t="shared" ca="1" si="10"/>
        <v>0</v>
      </c>
      <c r="T29" s="637">
        <f t="shared" ca="1" si="11"/>
        <v>0</v>
      </c>
      <c r="U29" s="638">
        <f t="shared" si="12"/>
        <v>2</v>
      </c>
      <c r="V29" s="638">
        <f t="shared" ca="1" si="13"/>
        <v>0</v>
      </c>
    </row>
    <row r="30" spans="1:22" x14ac:dyDescent="0.25">
      <c r="A30" t="s">
        <v>163</v>
      </c>
      <c r="B30" s="556">
        <v>2</v>
      </c>
      <c r="C30" t="s">
        <v>1501</v>
      </c>
      <c r="D30" t="s">
        <v>1518</v>
      </c>
      <c r="E30" s="556">
        <f ca="1">VLOOKUP(A30,Data!C:I,7,FALSE)</f>
        <v>0</v>
      </c>
      <c r="F30" s="636" t="str">
        <f t="shared" si="0"/>
        <v>PR.AC-32</v>
      </c>
      <c r="G30" s="636" t="str">
        <f t="shared" ca="1" si="1"/>
        <v>PR.AC-320</v>
      </c>
      <c r="I30" s="24"/>
      <c r="J30" s="24" t="s">
        <v>1566</v>
      </c>
      <c r="K30" s="637">
        <f t="shared" ca="1" si="2"/>
        <v>0</v>
      </c>
      <c r="L30" s="638">
        <f t="shared" si="3"/>
        <v>36</v>
      </c>
      <c r="M30" s="638">
        <f t="shared" ca="1" si="4"/>
        <v>0</v>
      </c>
      <c r="N30" s="637">
        <f t="shared" ca="1" si="5"/>
        <v>0</v>
      </c>
      <c r="O30" s="638">
        <f t="shared" si="6"/>
        <v>4</v>
      </c>
      <c r="P30" s="638">
        <f t="shared" ca="1" si="7"/>
        <v>0</v>
      </c>
      <c r="Q30" s="637">
        <f t="shared" ca="1" si="8"/>
        <v>0</v>
      </c>
      <c r="R30" s="638">
        <f t="shared" si="9"/>
        <v>18</v>
      </c>
      <c r="S30" s="638">
        <f t="shared" ca="1" si="10"/>
        <v>0</v>
      </c>
      <c r="T30" s="637">
        <f t="shared" ca="1" si="11"/>
        <v>0</v>
      </c>
      <c r="U30" s="638">
        <f t="shared" si="12"/>
        <v>14</v>
      </c>
      <c r="V30" s="638">
        <f t="shared" ca="1" si="13"/>
        <v>0</v>
      </c>
    </row>
    <row r="31" spans="1:22" x14ac:dyDescent="0.25">
      <c r="A31" t="s">
        <v>163</v>
      </c>
      <c r="B31" s="556">
        <v>2</v>
      </c>
      <c r="C31" t="s">
        <v>1501</v>
      </c>
      <c r="D31" t="s">
        <v>1521</v>
      </c>
      <c r="E31" s="556">
        <f ca="1">VLOOKUP(A31,Data!C:I,7,FALSE)</f>
        <v>0</v>
      </c>
      <c r="F31" s="636" t="str">
        <f t="shared" si="0"/>
        <v>PR.MA-22</v>
      </c>
      <c r="G31" s="636" t="str">
        <f t="shared" ca="1" si="1"/>
        <v>PR.MA-220</v>
      </c>
      <c r="I31" s="24" t="s">
        <v>1719</v>
      </c>
      <c r="J31" s="24" t="s">
        <v>1609</v>
      </c>
      <c r="K31" s="637">
        <f t="shared" ca="1" si="2"/>
        <v>0</v>
      </c>
      <c r="L31" s="638">
        <f t="shared" si="3"/>
        <v>8</v>
      </c>
      <c r="M31" s="638">
        <f t="shared" ca="1" si="4"/>
        <v>0</v>
      </c>
      <c r="N31" s="637">
        <f t="shared" ca="1" si="5"/>
        <v>0</v>
      </c>
      <c r="O31" s="638">
        <f t="shared" si="6"/>
        <v>3</v>
      </c>
      <c r="P31" s="638">
        <f t="shared" ca="1" si="7"/>
        <v>0</v>
      </c>
      <c r="Q31" s="637">
        <f t="shared" ca="1" si="8"/>
        <v>0</v>
      </c>
      <c r="R31" s="638">
        <f t="shared" si="9"/>
        <v>3</v>
      </c>
      <c r="S31" s="638">
        <f t="shared" ca="1" si="10"/>
        <v>0</v>
      </c>
      <c r="T31" s="637">
        <f t="shared" ca="1" si="11"/>
        <v>0</v>
      </c>
      <c r="U31" s="638">
        <f t="shared" si="12"/>
        <v>2</v>
      </c>
      <c r="V31" s="638">
        <f t="shared" ca="1" si="13"/>
        <v>0</v>
      </c>
    </row>
    <row r="32" spans="1:22" x14ac:dyDescent="0.25">
      <c r="A32" t="s">
        <v>163</v>
      </c>
      <c r="B32" s="556">
        <v>2</v>
      </c>
      <c r="C32" t="s">
        <v>1501</v>
      </c>
      <c r="D32" t="s">
        <v>1520</v>
      </c>
      <c r="E32" s="556">
        <f ca="1">VLOOKUP(A32,Data!C:I,7,FALSE)</f>
        <v>0</v>
      </c>
      <c r="F32" s="636" t="str">
        <f t="shared" si="0"/>
        <v>PR.PT-32</v>
      </c>
      <c r="G32" s="636" t="str">
        <f t="shared" ca="1" si="1"/>
        <v>PR.PT-320</v>
      </c>
      <c r="I32" s="24"/>
      <c r="J32" s="24" t="s">
        <v>1610</v>
      </c>
      <c r="K32" s="637">
        <f t="shared" ca="1" si="2"/>
        <v>0</v>
      </c>
      <c r="L32" s="638">
        <f t="shared" si="3"/>
        <v>7</v>
      </c>
      <c r="M32" s="638">
        <f t="shared" ca="1" si="4"/>
        <v>0</v>
      </c>
      <c r="N32" s="637">
        <f t="shared" ca="1" si="5"/>
        <v>0</v>
      </c>
      <c r="O32" s="638">
        <f t="shared" si="6"/>
        <v>4</v>
      </c>
      <c r="P32" s="638">
        <f t="shared" ca="1" si="7"/>
        <v>0</v>
      </c>
      <c r="Q32" s="637">
        <f t="shared" ca="1" si="8"/>
        <v>0</v>
      </c>
      <c r="R32" s="638">
        <f t="shared" si="9"/>
        <v>2</v>
      </c>
      <c r="S32" s="638">
        <f t="shared" ca="1" si="10"/>
        <v>0</v>
      </c>
      <c r="T32" s="637">
        <f t="shared" ca="1" si="11"/>
        <v>0</v>
      </c>
      <c r="U32" s="638">
        <f t="shared" si="12"/>
        <v>1</v>
      </c>
      <c r="V32" s="638">
        <f t="shared" ca="1" si="13"/>
        <v>0</v>
      </c>
    </row>
    <row r="33" spans="1:22" x14ac:dyDescent="0.25">
      <c r="A33" t="s">
        <v>164</v>
      </c>
      <c r="B33" s="556">
        <v>2</v>
      </c>
      <c r="C33" t="s">
        <v>1502</v>
      </c>
      <c r="D33" t="s">
        <v>1523</v>
      </c>
      <c r="E33" s="556">
        <f ca="1">VLOOKUP(A33,Data!C:I,7,FALSE)</f>
        <v>0</v>
      </c>
      <c r="F33" s="636" t="str">
        <f t="shared" si="0"/>
        <v>DE.CM-32</v>
      </c>
      <c r="G33" s="636" t="str">
        <f t="shared" ca="1" si="1"/>
        <v>DE.CM-320</v>
      </c>
      <c r="I33" s="24"/>
      <c r="J33" s="24" t="s">
        <v>1612</v>
      </c>
      <c r="K33" s="637">
        <f t="shared" ca="1" si="2"/>
        <v>0</v>
      </c>
      <c r="L33" s="638">
        <f t="shared" si="3"/>
        <v>9</v>
      </c>
      <c r="M33" s="638">
        <f t="shared" ca="1" si="4"/>
        <v>0</v>
      </c>
      <c r="N33" s="637">
        <f t="shared" ca="1" si="5"/>
        <v>0</v>
      </c>
      <c r="O33" s="638">
        <f t="shared" si="6"/>
        <v>2</v>
      </c>
      <c r="P33" s="638">
        <f t="shared" ca="1" si="7"/>
        <v>0</v>
      </c>
      <c r="Q33" s="637">
        <f t="shared" ca="1" si="8"/>
        <v>0</v>
      </c>
      <c r="R33" s="638">
        <f t="shared" si="9"/>
        <v>4</v>
      </c>
      <c r="S33" s="638">
        <f t="shared" ca="1" si="10"/>
        <v>0</v>
      </c>
      <c r="T33" s="637">
        <f t="shared" ca="1" si="11"/>
        <v>0</v>
      </c>
      <c r="U33" s="638">
        <f t="shared" si="12"/>
        <v>3</v>
      </c>
      <c r="V33" s="638">
        <f t="shared" ca="1" si="13"/>
        <v>0</v>
      </c>
    </row>
    <row r="34" spans="1:22" x14ac:dyDescent="0.25">
      <c r="A34" t="s">
        <v>164</v>
      </c>
      <c r="B34" s="556">
        <v>2</v>
      </c>
      <c r="C34" t="s">
        <v>1502</v>
      </c>
      <c r="D34" t="s">
        <v>1524</v>
      </c>
      <c r="E34" s="556">
        <f ca="1">VLOOKUP(A34,Data!C:I,7,FALSE)</f>
        <v>0</v>
      </c>
      <c r="F34" s="636" t="str">
        <f t="shared" si="0"/>
        <v>DE.CM-62</v>
      </c>
      <c r="G34" s="636" t="str">
        <f t="shared" ca="1" si="1"/>
        <v>DE.CM-620</v>
      </c>
      <c r="I34" s="24"/>
      <c r="J34" s="24" t="s">
        <v>1613</v>
      </c>
      <c r="K34" s="637">
        <f t="shared" ca="1" si="2"/>
        <v>0</v>
      </c>
      <c r="L34" s="638">
        <f t="shared" si="3"/>
        <v>7</v>
      </c>
      <c r="M34" s="638">
        <f t="shared" ca="1" si="4"/>
        <v>0</v>
      </c>
      <c r="N34" s="637">
        <f t="shared" si="5"/>
        <v>0</v>
      </c>
      <c r="O34" s="638">
        <f t="shared" si="6"/>
        <v>0</v>
      </c>
      <c r="P34" s="638">
        <f t="shared" ca="1" si="7"/>
        <v>0</v>
      </c>
      <c r="Q34" s="637">
        <f t="shared" ca="1" si="8"/>
        <v>0</v>
      </c>
      <c r="R34" s="638">
        <f t="shared" si="9"/>
        <v>4</v>
      </c>
      <c r="S34" s="638">
        <f t="shared" ca="1" si="10"/>
        <v>0</v>
      </c>
      <c r="T34" s="637">
        <f t="shared" ca="1" si="11"/>
        <v>0</v>
      </c>
      <c r="U34" s="638">
        <f t="shared" si="12"/>
        <v>3</v>
      </c>
      <c r="V34" s="638">
        <f t="shared" ca="1" si="13"/>
        <v>0</v>
      </c>
    </row>
    <row r="35" spans="1:22" x14ac:dyDescent="0.25">
      <c r="A35" t="s">
        <v>164</v>
      </c>
      <c r="B35" s="556">
        <v>2</v>
      </c>
      <c r="C35" t="s">
        <v>1502</v>
      </c>
      <c r="D35" t="s">
        <v>1525</v>
      </c>
      <c r="E35" s="556">
        <f ca="1">VLOOKUP(A35,Data!C:I,7,FALSE)</f>
        <v>0</v>
      </c>
      <c r="F35" s="636" t="str">
        <f t="shared" si="0"/>
        <v>DE.CM-72</v>
      </c>
      <c r="G35" s="636" t="str">
        <f t="shared" ca="1" si="1"/>
        <v>DE.CM-720</v>
      </c>
      <c r="I35" s="24"/>
      <c r="J35" s="24" t="s">
        <v>1552</v>
      </c>
      <c r="K35" s="637">
        <f t="shared" ca="1" si="2"/>
        <v>0</v>
      </c>
      <c r="L35" s="638">
        <f t="shared" si="3"/>
        <v>13</v>
      </c>
      <c r="M35" s="638">
        <f t="shared" ca="1" si="4"/>
        <v>0</v>
      </c>
      <c r="N35" s="637">
        <f t="shared" ca="1" si="5"/>
        <v>0</v>
      </c>
      <c r="O35" s="638">
        <f t="shared" si="6"/>
        <v>1</v>
      </c>
      <c r="P35" s="638">
        <f t="shared" ca="1" si="7"/>
        <v>0</v>
      </c>
      <c r="Q35" s="637">
        <f t="shared" ca="1" si="8"/>
        <v>0</v>
      </c>
      <c r="R35" s="638">
        <f t="shared" si="9"/>
        <v>6</v>
      </c>
      <c r="S35" s="638">
        <f t="shared" ca="1" si="10"/>
        <v>0</v>
      </c>
      <c r="T35" s="637">
        <f t="shared" ca="1" si="11"/>
        <v>0</v>
      </c>
      <c r="U35" s="638">
        <f t="shared" si="12"/>
        <v>6</v>
      </c>
      <c r="V35" s="638">
        <f t="shared" ca="1" si="13"/>
        <v>0</v>
      </c>
    </row>
    <row r="36" spans="1:22" x14ac:dyDescent="0.25">
      <c r="A36" t="s">
        <v>164</v>
      </c>
      <c r="B36" s="556">
        <v>2</v>
      </c>
      <c r="C36" t="s">
        <v>1501</v>
      </c>
      <c r="D36" t="s">
        <v>1518</v>
      </c>
      <c r="E36" s="556">
        <f ca="1">VLOOKUP(A36,Data!C:I,7,FALSE)</f>
        <v>0</v>
      </c>
      <c r="F36" s="636" t="str">
        <f t="shared" si="0"/>
        <v>PR.AC-32</v>
      </c>
      <c r="G36" s="636" t="str">
        <f t="shared" ca="1" si="1"/>
        <v>PR.AC-320</v>
      </c>
      <c r="I36" s="24"/>
      <c r="J36" s="24" t="s">
        <v>1602</v>
      </c>
      <c r="K36" s="637">
        <f t="shared" ca="1" si="2"/>
        <v>0</v>
      </c>
      <c r="L36" s="638">
        <f t="shared" si="3"/>
        <v>6</v>
      </c>
      <c r="M36" s="638">
        <f t="shared" ca="1" si="4"/>
        <v>0</v>
      </c>
      <c r="N36" s="637">
        <f t="shared" ca="1" si="5"/>
        <v>0</v>
      </c>
      <c r="O36" s="638">
        <f t="shared" si="6"/>
        <v>1</v>
      </c>
      <c r="P36" s="638">
        <f t="shared" ca="1" si="7"/>
        <v>0</v>
      </c>
      <c r="Q36" s="637">
        <f t="shared" ca="1" si="8"/>
        <v>0</v>
      </c>
      <c r="R36" s="638">
        <f t="shared" si="9"/>
        <v>2</v>
      </c>
      <c r="S36" s="638">
        <f t="shared" ca="1" si="10"/>
        <v>0</v>
      </c>
      <c r="T36" s="637">
        <f t="shared" ca="1" si="11"/>
        <v>0</v>
      </c>
      <c r="U36" s="638">
        <f t="shared" si="12"/>
        <v>3</v>
      </c>
      <c r="V36" s="638">
        <f t="shared" ca="1" si="13"/>
        <v>0</v>
      </c>
    </row>
    <row r="37" spans="1:22" x14ac:dyDescent="0.25">
      <c r="A37" t="s">
        <v>164</v>
      </c>
      <c r="B37" s="556">
        <v>2</v>
      </c>
      <c r="C37" t="s">
        <v>1501</v>
      </c>
      <c r="D37" t="s">
        <v>1521</v>
      </c>
      <c r="E37" s="556">
        <f ca="1">VLOOKUP(A37,Data!C:I,7,FALSE)</f>
        <v>0</v>
      </c>
      <c r="F37" s="636" t="str">
        <f t="shared" si="0"/>
        <v>PR.MA-22</v>
      </c>
      <c r="G37" s="636" t="str">
        <f t="shared" ca="1" si="1"/>
        <v>PR.MA-220</v>
      </c>
      <c r="I37" s="24" t="s">
        <v>1728</v>
      </c>
      <c r="J37" s="24" t="s">
        <v>1567</v>
      </c>
      <c r="K37" s="637">
        <f t="shared" ca="1" si="2"/>
        <v>0</v>
      </c>
      <c r="L37" s="638">
        <f t="shared" si="3"/>
        <v>38</v>
      </c>
      <c r="M37" s="638">
        <f t="shared" ca="1" si="4"/>
        <v>0</v>
      </c>
      <c r="N37" s="637">
        <f t="shared" ca="1" si="5"/>
        <v>0</v>
      </c>
      <c r="O37" s="638">
        <f t="shared" si="6"/>
        <v>4</v>
      </c>
      <c r="P37" s="638">
        <f t="shared" ca="1" si="7"/>
        <v>0</v>
      </c>
      <c r="Q37" s="637">
        <f t="shared" ca="1" si="8"/>
        <v>0</v>
      </c>
      <c r="R37" s="638">
        <f t="shared" si="9"/>
        <v>19</v>
      </c>
      <c r="S37" s="638">
        <f t="shared" ca="1" si="10"/>
        <v>0</v>
      </c>
      <c r="T37" s="637">
        <f t="shared" ca="1" si="11"/>
        <v>0</v>
      </c>
      <c r="U37" s="638">
        <f t="shared" si="12"/>
        <v>15</v>
      </c>
      <c r="V37" s="638">
        <f t="shared" ca="1" si="13"/>
        <v>0</v>
      </c>
    </row>
    <row r="38" spans="1:22" x14ac:dyDescent="0.25">
      <c r="A38" t="s">
        <v>164</v>
      </c>
      <c r="B38" s="556">
        <v>2</v>
      </c>
      <c r="C38" t="s">
        <v>1501</v>
      </c>
      <c r="D38" t="s">
        <v>1520</v>
      </c>
      <c r="E38" s="556">
        <f ca="1">VLOOKUP(A38,Data!C:I,7,FALSE)</f>
        <v>0</v>
      </c>
      <c r="F38" s="636" t="str">
        <f t="shared" si="0"/>
        <v>PR.PT-32</v>
      </c>
      <c r="G38" s="636" t="str">
        <f t="shared" ca="1" si="1"/>
        <v>PR.PT-320</v>
      </c>
      <c r="I38" s="24"/>
      <c r="J38" s="24" t="s">
        <v>1604</v>
      </c>
      <c r="K38" s="637">
        <f t="shared" ca="1" si="2"/>
        <v>0</v>
      </c>
      <c r="L38" s="638">
        <f t="shared" si="3"/>
        <v>1</v>
      </c>
      <c r="M38" s="638">
        <f t="shared" ca="1" si="4"/>
        <v>0</v>
      </c>
      <c r="N38" s="637">
        <f t="shared" si="5"/>
        <v>0</v>
      </c>
      <c r="O38" s="638">
        <f t="shared" si="6"/>
        <v>0</v>
      </c>
      <c r="P38" s="638">
        <f t="shared" ca="1" si="7"/>
        <v>0</v>
      </c>
      <c r="Q38" s="637">
        <f t="shared" si="8"/>
        <v>0</v>
      </c>
      <c r="R38" s="638">
        <f t="shared" si="9"/>
        <v>0</v>
      </c>
      <c r="S38" s="638">
        <f t="shared" ca="1" si="10"/>
        <v>0</v>
      </c>
      <c r="T38" s="637">
        <f t="shared" ca="1" si="11"/>
        <v>0</v>
      </c>
      <c r="U38" s="638">
        <f t="shared" si="12"/>
        <v>1</v>
      </c>
      <c r="V38" s="638">
        <f t="shared" ca="1" si="13"/>
        <v>0</v>
      </c>
    </row>
    <row r="39" spans="1:22" x14ac:dyDescent="0.25">
      <c r="A39" t="s">
        <v>166</v>
      </c>
      <c r="B39" s="556">
        <v>3</v>
      </c>
      <c r="C39" t="s">
        <v>1501</v>
      </c>
      <c r="D39" t="s">
        <v>1518</v>
      </c>
      <c r="E39" s="556">
        <f ca="1">VLOOKUP(A39,Data!C:I,7,FALSE)</f>
        <v>0</v>
      </c>
      <c r="F39" s="636" t="str">
        <f t="shared" si="0"/>
        <v>PR.AC-33</v>
      </c>
      <c r="G39" s="636" t="str">
        <f t="shared" ca="1" si="1"/>
        <v>PR.AC-330</v>
      </c>
      <c r="I39" s="24"/>
      <c r="J39" s="24" t="s">
        <v>1733</v>
      </c>
      <c r="K39" s="637">
        <f t="shared" si="2"/>
        <v>0</v>
      </c>
      <c r="L39" s="638">
        <f t="shared" si="3"/>
        <v>0</v>
      </c>
      <c r="M39" s="638">
        <f t="shared" ca="1" si="4"/>
        <v>0</v>
      </c>
      <c r="N39" s="637">
        <f t="shared" si="5"/>
        <v>0</v>
      </c>
      <c r="O39" s="638">
        <f t="shared" si="6"/>
        <v>0</v>
      </c>
      <c r="P39" s="638">
        <f t="shared" ca="1" si="7"/>
        <v>0</v>
      </c>
      <c r="Q39" s="637">
        <f t="shared" si="8"/>
        <v>0</v>
      </c>
      <c r="R39" s="638">
        <f t="shared" si="9"/>
        <v>0</v>
      </c>
      <c r="S39" s="638">
        <f t="shared" ca="1" si="10"/>
        <v>0</v>
      </c>
      <c r="T39" s="637">
        <f t="shared" si="11"/>
        <v>0</v>
      </c>
      <c r="U39" s="638">
        <f t="shared" si="12"/>
        <v>0</v>
      </c>
      <c r="V39" s="638">
        <f t="shared" ca="1" si="13"/>
        <v>0</v>
      </c>
    </row>
    <row r="40" spans="1:22" x14ac:dyDescent="0.25">
      <c r="A40" t="s">
        <v>166</v>
      </c>
      <c r="B40" s="556">
        <v>3</v>
      </c>
      <c r="C40" t="s">
        <v>1501</v>
      </c>
      <c r="D40" t="s">
        <v>1521</v>
      </c>
      <c r="E40" s="556">
        <f ca="1">VLOOKUP(A40,Data!C:I,7,FALSE)</f>
        <v>0</v>
      </c>
      <c r="F40" s="636" t="str">
        <f t="shared" si="0"/>
        <v>PR.MA-23</v>
      </c>
      <c r="G40" s="636" t="str">
        <f t="shared" ca="1" si="1"/>
        <v>PR.MA-230</v>
      </c>
      <c r="I40" s="24" t="s">
        <v>1735</v>
      </c>
      <c r="J40" s="24" t="s">
        <v>1563</v>
      </c>
      <c r="K40" s="637">
        <f t="shared" ca="1" si="2"/>
        <v>0</v>
      </c>
      <c r="L40" s="638">
        <f t="shared" si="3"/>
        <v>15</v>
      </c>
      <c r="M40" s="638">
        <f t="shared" ca="1" si="4"/>
        <v>0</v>
      </c>
      <c r="N40" s="637">
        <f t="shared" ca="1" si="5"/>
        <v>0</v>
      </c>
      <c r="O40" s="638">
        <f t="shared" si="6"/>
        <v>4</v>
      </c>
      <c r="P40" s="638">
        <f t="shared" ca="1" si="7"/>
        <v>0</v>
      </c>
      <c r="Q40" s="637">
        <f t="shared" ca="1" si="8"/>
        <v>0</v>
      </c>
      <c r="R40" s="638">
        <f t="shared" si="9"/>
        <v>6</v>
      </c>
      <c r="S40" s="638">
        <f t="shared" ca="1" si="10"/>
        <v>0</v>
      </c>
      <c r="T40" s="637">
        <f t="shared" ca="1" si="11"/>
        <v>0</v>
      </c>
      <c r="U40" s="638">
        <f t="shared" si="12"/>
        <v>5</v>
      </c>
      <c r="V40" s="638">
        <f t="shared" ca="1" si="13"/>
        <v>0</v>
      </c>
    </row>
    <row r="41" spans="1:22" x14ac:dyDescent="0.25">
      <c r="A41" t="s">
        <v>166</v>
      </c>
      <c r="B41" s="556">
        <v>3</v>
      </c>
      <c r="C41" t="s">
        <v>1501</v>
      </c>
      <c r="D41" t="s">
        <v>1520</v>
      </c>
      <c r="E41" s="556">
        <f ca="1">VLOOKUP(A41,Data!C:I,7,FALSE)</f>
        <v>0</v>
      </c>
      <c r="F41" s="636" t="str">
        <f t="shared" si="0"/>
        <v>PR.PT-33</v>
      </c>
      <c r="G41" s="636" t="str">
        <f t="shared" ca="1" si="1"/>
        <v>PR.PT-330</v>
      </c>
      <c r="I41" s="24"/>
      <c r="J41" s="24" t="s">
        <v>1543</v>
      </c>
      <c r="K41" s="637">
        <f t="shared" ca="1" si="2"/>
        <v>0</v>
      </c>
      <c r="L41" s="638">
        <f t="shared" si="3"/>
        <v>10</v>
      </c>
      <c r="M41" s="638">
        <f t="shared" ca="1" si="4"/>
        <v>0</v>
      </c>
      <c r="N41" s="637">
        <f t="shared" ca="1" si="5"/>
        <v>0</v>
      </c>
      <c r="O41" s="638">
        <f t="shared" si="6"/>
        <v>2</v>
      </c>
      <c r="P41" s="638">
        <f t="shared" ca="1" si="7"/>
        <v>0</v>
      </c>
      <c r="Q41" s="637">
        <f t="shared" ca="1" si="8"/>
        <v>0</v>
      </c>
      <c r="R41" s="638">
        <f t="shared" si="9"/>
        <v>5</v>
      </c>
      <c r="S41" s="638">
        <f t="shared" ca="1" si="10"/>
        <v>0</v>
      </c>
      <c r="T41" s="637">
        <f t="shared" ca="1" si="11"/>
        <v>0</v>
      </c>
      <c r="U41" s="638">
        <f t="shared" si="12"/>
        <v>3</v>
      </c>
      <c r="V41" s="638">
        <f t="shared" ca="1" si="13"/>
        <v>0</v>
      </c>
    </row>
    <row r="42" spans="1:22" x14ac:dyDescent="0.25">
      <c r="A42" t="s">
        <v>964</v>
      </c>
      <c r="B42" s="556">
        <v>3</v>
      </c>
      <c r="C42" t="s">
        <v>1502</v>
      </c>
      <c r="D42" t="s">
        <v>1523</v>
      </c>
      <c r="E42" s="556">
        <f ca="1">VLOOKUP(A42,Data!C:I,7,FALSE)</f>
        <v>0</v>
      </c>
      <c r="F42" s="636" t="str">
        <f t="shared" si="0"/>
        <v>DE.CM-33</v>
      </c>
      <c r="G42" s="636" t="str">
        <f t="shared" ca="1" si="1"/>
        <v>DE.CM-330</v>
      </c>
      <c r="I42" s="24"/>
      <c r="J42" s="24" t="s">
        <v>1607</v>
      </c>
      <c r="K42" s="637">
        <f t="shared" ca="1" si="2"/>
        <v>0</v>
      </c>
      <c r="L42" s="638">
        <f t="shared" si="3"/>
        <v>8</v>
      </c>
      <c r="M42" s="638">
        <f t="shared" ca="1" si="4"/>
        <v>0</v>
      </c>
      <c r="N42" s="637">
        <f t="shared" ca="1" si="5"/>
        <v>0</v>
      </c>
      <c r="O42" s="638">
        <f t="shared" si="6"/>
        <v>2</v>
      </c>
      <c r="P42" s="638">
        <f t="shared" ca="1" si="7"/>
        <v>0</v>
      </c>
      <c r="Q42" s="637">
        <f t="shared" ca="1" si="8"/>
        <v>0</v>
      </c>
      <c r="R42" s="638">
        <f t="shared" si="9"/>
        <v>3</v>
      </c>
      <c r="S42" s="638">
        <f t="shared" ca="1" si="10"/>
        <v>0</v>
      </c>
      <c r="T42" s="637">
        <f t="shared" ca="1" si="11"/>
        <v>0</v>
      </c>
      <c r="U42" s="638">
        <f t="shared" si="12"/>
        <v>3</v>
      </c>
      <c r="V42" s="638">
        <f t="shared" ca="1" si="13"/>
        <v>0</v>
      </c>
    </row>
    <row r="43" spans="1:22" x14ac:dyDescent="0.25">
      <c r="A43" t="s">
        <v>964</v>
      </c>
      <c r="B43" s="556">
        <v>3</v>
      </c>
      <c r="C43" t="s">
        <v>1502</v>
      </c>
      <c r="D43" t="s">
        <v>1524</v>
      </c>
      <c r="E43" s="556">
        <f ca="1">VLOOKUP(A43,Data!C:I,7,FALSE)</f>
        <v>0</v>
      </c>
      <c r="F43" s="636" t="str">
        <f t="shared" si="0"/>
        <v>DE.CM-63</v>
      </c>
      <c r="G43" s="636" t="str">
        <f t="shared" ca="1" si="1"/>
        <v>DE.CM-630</v>
      </c>
      <c r="I43" s="24"/>
      <c r="J43" s="24" t="s">
        <v>1608</v>
      </c>
      <c r="K43" s="637">
        <f t="shared" ca="1" si="2"/>
        <v>0</v>
      </c>
      <c r="L43" s="638">
        <f t="shared" si="3"/>
        <v>3</v>
      </c>
      <c r="M43" s="638">
        <f t="shared" ca="1" si="4"/>
        <v>0</v>
      </c>
      <c r="N43" s="637">
        <f t="shared" si="5"/>
        <v>0</v>
      </c>
      <c r="O43" s="638">
        <f t="shared" si="6"/>
        <v>0</v>
      </c>
      <c r="P43" s="638">
        <f t="shared" ca="1" si="7"/>
        <v>0</v>
      </c>
      <c r="Q43" s="637">
        <f t="shared" ca="1" si="8"/>
        <v>0</v>
      </c>
      <c r="R43" s="638">
        <f t="shared" si="9"/>
        <v>2</v>
      </c>
      <c r="S43" s="638">
        <f t="shared" ca="1" si="10"/>
        <v>0</v>
      </c>
      <c r="T43" s="637">
        <f t="shared" ca="1" si="11"/>
        <v>0</v>
      </c>
      <c r="U43" s="638">
        <f t="shared" si="12"/>
        <v>1</v>
      </c>
      <c r="V43" s="638">
        <f t="shared" ca="1" si="13"/>
        <v>0</v>
      </c>
    </row>
    <row r="44" spans="1:22" x14ac:dyDescent="0.25">
      <c r="A44" t="s">
        <v>964</v>
      </c>
      <c r="B44" s="556">
        <v>3</v>
      </c>
      <c r="C44" t="s">
        <v>1502</v>
      </c>
      <c r="D44" t="s">
        <v>1525</v>
      </c>
      <c r="E44" s="556">
        <f ca="1">VLOOKUP(A44,Data!C:I,7,FALSE)</f>
        <v>0</v>
      </c>
      <c r="F44" s="636" t="str">
        <f t="shared" si="0"/>
        <v>DE.CM-73</v>
      </c>
      <c r="G44" s="636" t="str">
        <f t="shared" ca="1" si="1"/>
        <v>DE.CM-730</v>
      </c>
      <c r="I44" s="24"/>
      <c r="J44" s="24" t="s">
        <v>1572</v>
      </c>
      <c r="K44" s="637">
        <f t="shared" ca="1" si="2"/>
        <v>0</v>
      </c>
      <c r="L44" s="638">
        <f t="shared" si="3"/>
        <v>6</v>
      </c>
      <c r="M44" s="638">
        <f t="shared" ca="1" si="4"/>
        <v>0</v>
      </c>
      <c r="N44" s="637">
        <f t="shared" ca="1" si="5"/>
        <v>0</v>
      </c>
      <c r="O44" s="638">
        <f t="shared" si="6"/>
        <v>1</v>
      </c>
      <c r="P44" s="638">
        <f t="shared" ca="1" si="7"/>
        <v>0</v>
      </c>
      <c r="Q44" s="637">
        <f t="shared" ca="1" si="8"/>
        <v>0</v>
      </c>
      <c r="R44" s="638">
        <f t="shared" si="9"/>
        <v>2</v>
      </c>
      <c r="S44" s="638">
        <f t="shared" ca="1" si="10"/>
        <v>0</v>
      </c>
      <c r="T44" s="637">
        <f t="shared" ca="1" si="11"/>
        <v>0</v>
      </c>
      <c r="U44" s="638">
        <f t="shared" si="12"/>
        <v>3</v>
      </c>
      <c r="V44" s="638">
        <f t="shared" ca="1" si="13"/>
        <v>0</v>
      </c>
    </row>
    <row r="45" spans="1:22" x14ac:dyDescent="0.25">
      <c r="A45" t="s">
        <v>964</v>
      </c>
      <c r="B45" s="556">
        <v>3</v>
      </c>
      <c r="C45" t="s">
        <v>1501</v>
      </c>
      <c r="D45" t="s">
        <v>1520</v>
      </c>
      <c r="E45" s="556">
        <f ca="1">VLOOKUP(A45,Data!C:I,7,FALSE)</f>
        <v>0</v>
      </c>
      <c r="F45" s="636" t="str">
        <f t="shared" si="0"/>
        <v>PR.PT-33</v>
      </c>
      <c r="G45" s="636" t="str">
        <f t="shared" ca="1" si="1"/>
        <v>PR.PT-330</v>
      </c>
      <c r="I45" s="24" t="s">
        <v>1743</v>
      </c>
      <c r="J45" s="24" t="s">
        <v>1515</v>
      </c>
      <c r="K45" s="637">
        <f t="shared" ca="1" si="2"/>
        <v>0</v>
      </c>
      <c r="L45" s="638">
        <f t="shared" si="3"/>
        <v>11</v>
      </c>
      <c r="M45" s="638">
        <f t="shared" ca="1" si="4"/>
        <v>0</v>
      </c>
      <c r="N45" s="637">
        <f t="shared" ca="1" si="5"/>
        <v>0</v>
      </c>
      <c r="O45" s="638">
        <f t="shared" si="6"/>
        <v>4</v>
      </c>
      <c r="P45" s="638">
        <f t="shared" ca="1" si="7"/>
        <v>0</v>
      </c>
      <c r="Q45" s="637">
        <f t="shared" ca="1" si="8"/>
        <v>0</v>
      </c>
      <c r="R45" s="638">
        <f t="shared" si="9"/>
        <v>7</v>
      </c>
      <c r="S45" s="638">
        <f t="shared" ca="1" si="10"/>
        <v>0</v>
      </c>
      <c r="T45" s="637">
        <f t="shared" si="11"/>
        <v>0</v>
      </c>
      <c r="U45" s="638">
        <f t="shared" si="12"/>
        <v>0</v>
      </c>
      <c r="V45" s="638">
        <f t="shared" ca="1" si="13"/>
        <v>0</v>
      </c>
    </row>
    <row r="46" spans="1:22" x14ac:dyDescent="0.25">
      <c r="A46" t="s">
        <v>168</v>
      </c>
      <c r="B46" s="556">
        <v>1</v>
      </c>
      <c r="C46" t="s">
        <v>1501</v>
      </c>
      <c r="D46" t="s">
        <v>1526</v>
      </c>
      <c r="E46" s="556">
        <f ca="1">VLOOKUP(A46,Data!C:I,7,FALSE)</f>
        <v>0</v>
      </c>
      <c r="F46" s="636" t="str">
        <f t="shared" si="0"/>
        <v>PR.AC-21</v>
      </c>
      <c r="G46" s="636" t="str">
        <f t="shared" ca="1" si="1"/>
        <v>PR.AC-210</v>
      </c>
      <c r="I46" s="24"/>
      <c r="J46" s="24" t="s">
        <v>1526</v>
      </c>
      <c r="K46" s="637">
        <f t="shared" ca="1" si="2"/>
        <v>0</v>
      </c>
      <c r="L46" s="638">
        <f t="shared" si="3"/>
        <v>13</v>
      </c>
      <c r="M46" s="638">
        <f t="shared" ca="1" si="4"/>
        <v>0</v>
      </c>
      <c r="N46" s="637">
        <f t="shared" ca="1" si="5"/>
        <v>0</v>
      </c>
      <c r="O46" s="638">
        <f t="shared" si="6"/>
        <v>4</v>
      </c>
      <c r="P46" s="638">
        <f t="shared" ca="1" si="7"/>
        <v>0</v>
      </c>
      <c r="Q46" s="637">
        <f t="shared" ca="1" si="8"/>
        <v>0</v>
      </c>
      <c r="R46" s="638">
        <f t="shared" si="9"/>
        <v>8</v>
      </c>
      <c r="S46" s="638">
        <f t="shared" ca="1" si="10"/>
        <v>0</v>
      </c>
      <c r="T46" s="637">
        <f t="shared" ca="1" si="11"/>
        <v>0</v>
      </c>
      <c r="U46" s="638">
        <f t="shared" si="12"/>
        <v>1</v>
      </c>
      <c r="V46" s="638">
        <f t="shared" ca="1" si="13"/>
        <v>0</v>
      </c>
    </row>
    <row r="47" spans="1:22" x14ac:dyDescent="0.25">
      <c r="A47" t="s">
        <v>169</v>
      </c>
      <c r="B47" s="556">
        <v>1</v>
      </c>
      <c r="C47" t="s">
        <v>1501</v>
      </c>
      <c r="D47" t="s">
        <v>1526</v>
      </c>
      <c r="E47" s="556">
        <f ca="1">VLOOKUP(A47,Data!C:I,7,FALSE)</f>
        <v>0</v>
      </c>
      <c r="F47" s="636" t="str">
        <f t="shared" si="0"/>
        <v>PR.AC-21</v>
      </c>
      <c r="G47" s="636" t="str">
        <f t="shared" ca="1" si="1"/>
        <v>PR.AC-210</v>
      </c>
      <c r="I47" s="24"/>
      <c r="J47" s="24" t="s">
        <v>1518</v>
      </c>
      <c r="K47" s="637">
        <f t="shared" ca="1" si="2"/>
        <v>0</v>
      </c>
      <c r="L47" s="638">
        <f t="shared" si="3"/>
        <v>10</v>
      </c>
      <c r="M47" s="638">
        <f t="shared" ca="1" si="4"/>
        <v>0</v>
      </c>
      <c r="N47" s="637">
        <f t="shared" ca="1" si="5"/>
        <v>0</v>
      </c>
      <c r="O47" s="638">
        <f t="shared" si="6"/>
        <v>2</v>
      </c>
      <c r="P47" s="638">
        <f t="shared" ca="1" si="7"/>
        <v>0</v>
      </c>
      <c r="Q47" s="637">
        <f t="shared" ca="1" si="8"/>
        <v>0</v>
      </c>
      <c r="R47" s="638">
        <f t="shared" si="9"/>
        <v>7</v>
      </c>
      <c r="S47" s="638">
        <f t="shared" ca="1" si="10"/>
        <v>0</v>
      </c>
      <c r="T47" s="637">
        <f t="shared" ca="1" si="11"/>
        <v>0</v>
      </c>
      <c r="U47" s="638">
        <f t="shared" si="12"/>
        <v>1</v>
      </c>
      <c r="V47" s="638">
        <f t="shared" ca="1" si="13"/>
        <v>0</v>
      </c>
    </row>
    <row r="48" spans="1:22" x14ac:dyDescent="0.25">
      <c r="A48" t="s">
        <v>170</v>
      </c>
      <c r="B48" s="556">
        <v>1</v>
      </c>
      <c r="C48" t="s">
        <v>1502</v>
      </c>
      <c r="D48" t="s">
        <v>1527</v>
      </c>
      <c r="E48" s="556">
        <f ca="1">VLOOKUP(A48,Data!C:I,7,FALSE)</f>
        <v>0</v>
      </c>
      <c r="F48" s="636" t="str">
        <f t="shared" si="0"/>
        <v>DE.CM-21</v>
      </c>
      <c r="G48" s="636" t="str">
        <f t="shared" ca="1" si="1"/>
        <v>DE.CM-210</v>
      </c>
      <c r="I48" s="24"/>
      <c r="J48" s="24" t="s">
        <v>1522</v>
      </c>
      <c r="K48" s="637">
        <f t="shared" ca="1" si="2"/>
        <v>0</v>
      </c>
      <c r="L48" s="638">
        <f t="shared" si="3"/>
        <v>6</v>
      </c>
      <c r="M48" s="638">
        <f t="shared" ca="1" si="4"/>
        <v>0</v>
      </c>
      <c r="N48" s="637">
        <f t="shared" si="5"/>
        <v>0</v>
      </c>
      <c r="O48" s="638">
        <f t="shared" si="6"/>
        <v>0</v>
      </c>
      <c r="P48" s="638">
        <f t="shared" ca="1" si="7"/>
        <v>0</v>
      </c>
      <c r="Q48" s="637">
        <f t="shared" ca="1" si="8"/>
        <v>0</v>
      </c>
      <c r="R48" s="638">
        <f t="shared" si="9"/>
        <v>6</v>
      </c>
      <c r="S48" s="638">
        <f t="shared" ca="1" si="10"/>
        <v>0</v>
      </c>
      <c r="T48" s="637">
        <f t="shared" si="11"/>
        <v>0</v>
      </c>
      <c r="U48" s="638">
        <f t="shared" si="12"/>
        <v>0</v>
      </c>
      <c r="V48" s="638">
        <f t="shared" ca="1" si="13"/>
        <v>0</v>
      </c>
    </row>
    <row r="49" spans="1:22" x14ac:dyDescent="0.25">
      <c r="A49" t="s">
        <v>170</v>
      </c>
      <c r="B49" s="556">
        <v>1</v>
      </c>
      <c r="C49" t="s">
        <v>1502</v>
      </c>
      <c r="D49" t="s">
        <v>1523</v>
      </c>
      <c r="E49" s="556">
        <f ca="1">VLOOKUP(A49,Data!C:I,7,FALSE)</f>
        <v>0</v>
      </c>
      <c r="F49" s="636" t="str">
        <f t="shared" si="0"/>
        <v>DE.CM-31</v>
      </c>
      <c r="G49" s="636" t="str">
        <f t="shared" ca="1" si="1"/>
        <v>DE.CM-310</v>
      </c>
      <c r="I49" s="24"/>
      <c r="J49" s="24" t="s">
        <v>1532</v>
      </c>
      <c r="K49" s="637">
        <f t="shared" ca="1" si="2"/>
        <v>0</v>
      </c>
      <c r="L49" s="638">
        <f t="shared" si="3"/>
        <v>16</v>
      </c>
      <c r="M49" s="638">
        <f t="shared" ca="1" si="4"/>
        <v>0</v>
      </c>
      <c r="N49" s="637">
        <f t="shared" ca="1" si="5"/>
        <v>0</v>
      </c>
      <c r="O49" s="638">
        <f t="shared" si="6"/>
        <v>2</v>
      </c>
      <c r="P49" s="638">
        <f t="shared" ca="1" si="7"/>
        <v>0</v>
      </c>
      <c r="Q49" s="637">
        <f t="shared" ca="1" si="8"/>
        <v>0</v>
      </c>
      <c r="R49" s="638">
        <f t="shared" si="9"/>
        <v>8</v>
      </c>
      <c r="S49" s="638">
        <f t="shared" ca="1" si="10"/>
        <v>0</v>
      </c>
      <c r="T49" s="637">
        <f t="shared" ca="1" si="11"/>
        <v>0</v>
      </c>
      <c r="U49" s="638">
        <f t="shared" si="12"/>
        <v>6</v>
      </c>
      <c r="V49" s="638">
        <f t="shared" ca="1" si="13"/>
        <v>0</v>
      </c>
    </row>
    <row r="50" spans="1:22" x14ac:dyDescent="0.25">
      <c r="A50" t="s">
        <v>170</v>
      </c>
      <c r="B50" s="556">
        <v>1</v>
      </c>
      <c r="C50" t="s">
        <v>1502</v>
      </c>
      <c r="D50" t="s">
        <v>1524</v>
      </c>
      <c r="E50" s="556">
        <f ca="1">VLOOKUP(A50,Data!C:I,7,FALSE)</f>
        <v>0</v>
      </c>
      <c r="F50" s="636" t="str">
        <f t="shared" si="0"/>
        <v>DE.CM-61</v>
      </c>
      <c r="G50" s="636" t="str">
        <f t="shared" ca="1" si="1"/>
        <v>DE.CM-610</v>
      </c>
      <c r="I50" s="24"/>
      <c r="J50" s="24" t="s">
        <v>1516</v>
      </c>
      <c r="K50" s="637">
        <f t="shared" ca="1" si="2"/>
        <v>0</v>
      </c>
      <c r="L50" s="638">
        <f t="shared" si="3"/>
        <v>1</v>
      </c>
      <c r="M50" s="638">
        <f t="shared" ca="1" si="4"/>
        <v>0</v>
      </c>
      <c r="N50" s="637">
        <f t="shared" si="5"/>
        <v>0</v>
      </c>
      <c r="O50" s="638">
        <f t="shared" si="6"/>
        <v>0</v>
      </c>
      <c r="P50" s="638">
        <f t="shared" ca="1" si="7"/>
        <v>0</v>
      </c>
      <c r="Q50" s="637">
        <f t="shared" ca="1" si="8"/>
        <v>0</v>
      </c>
      <c r="R50" s="638">
        <f t="shared" si="9"/>
        <v>1</v>
      </c>
      <c r="S50" s="638">
        <f t="shared" ca="1" si="10"/>
        <v>0</v>
      </c>
      <c r="T50" s="637">
        <f t="shared" si="11"/>
        <v>0</v>
      </c>
      <c r="U50" s="638">
        <f t="shared" si="12"/>
        <v>0</v>
      </c>
      <c r="V50" s="638">
        <f t="shared" ca="1" si="13"/>
        <v>0</v>
      </c>
    </row>
    <row r="51" spans="1:22" x14ac:dyDescent="0.25">
      <c r="A51" t="s">
        <v>170</v>
      </c>
      <c r="B51" s="556">
        <v>1</v>
      </c>
      <c r="C51" t="s">
        <v>1502</v>
      </c>
      <c r="D51" t="s">
        <v>1525</v>
      </c>
      <c r="E51" s="556">
        <f ca="1">VLOOKUP(A51,Data!C:I,7,FALSE)</f>
        <v>0</v>
      </c>
      <c r="F51" s="636" t="str">
        <f t="shared" si="0"/>
        <v>DE.CM-71</v>
      </c>
      <c r="G51" s="636" t="str">
        <f t="shared" ca="1" si="1"/>
        <v>DE.CM-710</v>
      </c>
      <c r="I51" s="24"/>
      <c r="J51" s="24" t="s">
        <v>1517</v>
      </c>
      <c r="K51" s="637">
        <f t="shared" ca="1" si="2"/>
        <v>0</v>
      </c>
      <c r="L51" s="638">
        <f t="shared" si="3"/>
        <v>5</v>
      </c>
      <c r="M51" s="638">
        <f t="shared" ca="1" si="4"/>
        <v>0</v>
      </c>
      <c r="N51" s="637">
        <f t="shared" si="5"/>
        <v>0</v>
      </c>
      <c r="O51" s="638">
        <f t="shared" si="6"/>
        <v>0</v>
      </c>
      <c r="P51" s="638">
        <f t="shared" ca="1" si="7"/>
        <v>0</v>
      </c>
      <c r="Q51" s="637">
        <f t="shared" ca="1" si="8"/>
        <v>0</v>
      </c>
      <c r="R51" s="638">
        <f t="shared" si="9"/>
        <v>5</v>
      </c>
      <c r="S51" s="638">
        <f t="shared" ca="1" si="10"/>
        <v>0</v>
      </c>
      <c r="T51" s="637">
        <f t="shared" si="11"/>
        <v>0</v>
      </c>
      <c r="U51" s="638">
        <f t="shared" si="12"/>
        <v>0</v>
      </c>
      <c r="V51" s="638">
        <f t="shared" ca="1" si="13"/>
        <v>0</v>
      </c>
    </row>
    <row r="52" spans="1:22" x14ac:dyDescent="0.25">
      <c r="A52" t="s">
        <v>170</v>
      </c>
      <c r="B52" s="556">
        <v>1</v>
      </c>
      <c r="C52" t="s">
        <v>1501</v>
      </c>
      <c r="D52" t="s">
        <v>1526</v>
      </c>
      <c r="E52" s="556">
        <f ca="1">VLOOKUP(A52,Data!C:I,7,FALSE)</f>
        <v>0</v>
      </c>
      <c r="F52" s="636" t="str">
        <f t="shared" si="0"/>
        <v>PR.AC-21</v>
      </c>
      <c r="G52" s="636" t="str">
        <f t="shared" ca="1" si="1"/>
        <v>PR.AC-210</v>
      </c>
      <c r="I52" s="24" t="s">
        <v>1753</v>
      </c>
      <c r="J52" s="24" t="s">
        <v>1619</v>
      </c>
      <c r="K52" s="637">
        <f t="shared" ca="1" si="2"/>
        <v>0</v>
      </c>
      <c r="L52" s="638">
        <f t="shared" si="3"/>
        <v>11</v>
      </c>
      <c r="M52" s="638">
        <f t="shared" ca="1" si="4"/>
        <v>0</v>
      </c>
      <c r="N52" s="637">
        <f t="shared" ca="1" si="5"/>
        <v>0</v>
      </c>
      <c r="O52" s="638">
        <f t="shared" si="6"/>
        <v>3</v>
      </c>
      <c r="P52" s="638">
        <f t="shared" ca="1" si="7"/>
        <v>0</v>
      </c>
      <c r="Q52" s="637">
        <f t="shared" ca="1" si="8"/>
        <v>0</v>
      </c>
      <c r="R52" s="638">
        <f t="shared" si="9"/>
        <v>4</v>
      </c>
      <c r="S52" s="638">
        <f t="shared" ca="1" si="10"/>
        <v>0</v>
      </c>
      <c r="T52" s="637">
        <f t="shared" ca="1" si="11"/>
        <v>0</v>
      </c>
      <c r="U52" s="638">
        <f t="shared" si="12"/>
        <v>4</v>
      </c>
      <c r="V52" s="638">
        <f t="shared" ca="1" si="13"/>
        <v>0</v>
      </c>
    </row>
    <row r="53" spans="1:22" x14ac:dyDescent="0.25">
      <c r="A53" t="s">
        <v>171</v>
      </c>
      <c r="B53" s="556">
        <v>2</v>
      </c>
      <c r="C53" t="s">
        <v>1501</v>
      </c>
      <c r="D53" t="s">
        <v>1526</v>
      </c>
      <c r="E53" s="556">
        <f ca="1">VLOOKUP(A53,Data!C:I,7,FALSE)</f>
        <v>0</v>
      </c>
      <c r="F53" s="636" t="str">
        <f t="shared" si="0"/>
        <v>PR.AC-22</v>
      </c>
      <c r="G53" s="636" t="str">
        <f t="shared" ca="1" si="1"/>
        <v>PR.AC-220</v>
      </c>
      <c r="I53" s="24"/>
      <c r="J53" s="24" t="s">
        <v>1615</v>
      </c>
      <c r="K53" s="637">
        <f t="shared" ca="1" si="2"/>
        <v>0</v>
      </c>
      <c r="L53" s="638">
        <f t="shared" si="3"/>
        <v>6</v>
      </c>
      <c r="M53" s="638">
        <f t="shared" ca="1" si="4"/>
        <v>0</v>
      </c>
      <c r="N53" s="637">
        <f t="shared" ca="1" si="5"/>
        <v>0</v>
      </c>
      <c r="O53" s="638">
        <f t="shared" si="6"/>
        <v>2</v>
      </c>
      <c r="P53" s="638">
        <f t="shared" ca="1" si="7"/>
        <v>0</v>
      </c>
      <c r="Q53" s="637">
        <f t="shared" ca="1" si="8"/>
        <v>0</v>
      </c>
      <c r="R53" s="638">
        <f t="shared" si="9"/>
        <v>2</v>
      </c>
      <c r="S53" s="638">
        <f t="shared" ca="1" si="10"/>
        <v>0</v>
      </c>
      <c r="T53" s="637">
        <f t="shared" ca="1" si="11"/>
        <v>0</v>
      </c>
      <c r="U53" s="638">
        <f t="shared" si="12"/>
        <v>2</v>
      </c>
      <c r="V53" s="638">
        <f t="shared" ca="1" si="13"/>
        <v>0</v>
      </c>
    </row>
    <row r="54" spans="1:22" x14ac:dyDescent="0.25">
      <c r="A54" t="s">
        <v>171</v>
      </c>
      <c r="B54" s="556">
        <v>2</v>
      </c>
      <c r="C54" t="s">
        <v>1501</v>
      </c>
      <c r="D54" t="s">
        <v>1517</v>
      </c>
      <c r="E54" s="556">
        <f ca="1">VLOOKUP(A54,Data!C:I,7,FALSE)</f>
        <v>0</v>
      </c>
      <c r="F54" s="636" t="str">
        <f t="shared" si="0"/>
        <v>PR.AC-72</v>
      </c>
      <c r="G54" s="636" t="str">
        <f t="shared" ca="1" si="1"/>
        <v>PR.AC-720</v>
      </c>
      <c r="I54" s="24"/>
      <c r="J54" s="24" t="s">
        <v>1616</v>
      </c>
      <c r="K54" s="637">
        <f t="shared" ca="1" si="2"/>
        <v>0</v>
      </c>
      <c r="L54" s="638">
        <f t="shared" si="3"/>
        <v>6</v>
      </c>
      <c r="M54" s="638">
        <f t="shared" ca="1" si="4"/>
        <v>0</v>
      </c>
      <c r="N54" s="637">
        <f t="shared" ca="1" si="5"/>
        <v>0</v>
      </c>
      <c r="O54" s="638">
        <f t="shared" si="6"/>
        <v>2</v>
      </c>
      <c r="P54" s="638">
        <f t="shared" ca="1" si="7"/>
        <v>0</v>
      </c>
      <c r="Q54" s="637">
        <f t="shared" ca="1" si="8"/>
        <v>0</v>
      </c>
      <c r="R54" s="638">
        <f t="shared" si="9"/>
        <v>2</v>
      </c>
      <c r="S54" s="638">
        <f t="shared" ca="1" si="10"/>
        <v>0</v>
      </c>
      <c r="T54" s="637">
        <f t="shared" ca="1" si="11"/>
        <v>0</v>
      </c>
      <c r="U54" s="638">
        <f t="shared" si="12"/>
        <v>2</v>
      </c>
      <c r="V54" s="638">
        <f t="shared" ca="1" si="13"/>
        <v>0</v>
      </c>
    </row>
    <row r="55" spans="1:22" x14ac:dyDescent="0.25">
      <c r="A55" t="s">
        <v>172</v>
      </c>
      <c r="B55" s="556">
        <v>2</v>
      </c>
      <c r="C55" t="s">
        <v>1501</v>
      </c>
      <c r="D55" t="s">
        <v>1526</v>
      </c>
      <c r="E55" s="556">
        <f ca="1">VLOOKUP(A55,Data!C:I,7,FALSE)</f>
        <v>0</v>
      </c>
      <c r="F55" s="636" t="str">
        <f t="shared" si="0"/>
        <v>PR.AC-22</v>
      </c>
      <c r="G55" s="636" t="str">
        <f t="shared" ca="1" si="1"/>
        <v>PR.AC-220</v>
      </c>
      <c r="I55" s="24"/>
      <c r="J55" s="24" t="s">
        <v>1565</v>
      </c>
      <c r="K55" s="637">
        <f t="shared" ca="1" si="2"/>
        <v>0</v>
      </c>
      <c r="L55" s="638">
        <f t="shared" si="3"/>
        <v>8</v>
      </c>
      <c r="M55" s="638">
        <f t="shared" ca="1" si="4"/>
        <v>0</v>
      </c>
      <c r="N55" s="637">
        <f t="shared" ca="1" si="5"/>
        <v>0</v>
      </c>
      <c r="O55" s="638">
        <f t="shared" si="6"/>
        <v>2</v>
      </c>
      <c r="P55" s="638">
        <f t="shared" ca="1" si="7"/>
        <v>0</v>
      </c>
      <c r="Q55" s="637">
        <f t="shared" ca="1" si="8"/>
        <v>0</v>
      </c>
      <c r="R55" s="638">
        <f t="shared" si="9"/>
        <v>4</v>
      </c>
      <c r="S55" s="638">
        <f t="shared" ca="1" si="10"/>
        <v>0</v>
      </c>
      <c r="T55" s="637">
        <f t="shared" ca="1" si="11"/>
        <v>0</v>
      </c>
      <c r="U55" s="638">
        <f t="shared" si="12"/>
        <v>2</v>
      </c>
      <c r="V55" s="638">
        <f t="shared" ca="1" si="13"/>
        <v>0</v>
      </c>
    </row>
    <row r="56" spans="1:22" x14ac:dyDescent="0.25">
      <c r="A56" t="s">
        <v>172</v>
      </c>
      <c r="B56" s="556">
        <v>2</v>
      </c>
      <c r="C56" t="s">
        <v>1501</v>
      </c>
      <c r="D56" t="s">
        <v>1522</v>
      </c>
      <c r="E56" s="556">
        <f ca="1">VLOOKUP(A56,Data!C:I,7,FALSE)</f>
        <v>0</v>
      </c>
      <c r="F56" s="636" t="str">
        <f t="shared" si="0"/>
        <v>PR.AC-42</v>
      </c>
      <c r="G56" s="636" t="str">
        <f t="shared" ca="1" si="1"/>
        <v>PR.AC-420</v>
      </c>
      <c r="I56" s="24"/>
      <c r="J56" s="24" t="s">
        <v>1617</v>
      </c>
      <c r="K56" s="637">
        <f t="shared" ca="1" si="2"/>
        <v>0</v>
      </c>
      <c r="L56" s="638">
        <f t="shared" si="3"/>
        <v>6</v>
      </c>
      <c r="M56" s="638">
        <f t="shared" ca="1" si="4"/>
        <v>0</v>
      </c>
      <c r="N56" s="637">
        <f t="shared" ca="1" si="5"/>
        <v>0</v>
      </c>
      <c r="O56" s="638">
        <f t="shared" si="6"/>
        <v>2</v>
      </c>
      <c r="P56" s="638">
        <f t="shared" ca="1" si="7"/>
        <v>0</v>
      </c>
      <c r="Q56" s="637">
        <f t="shared" ca="1" si="8"/>
        <v>0</v>
      </c>
      <c r="R56" s="638">
        <f t="shared" si="9"/>
        <v>2</v>
      </c>
      <c r="S56" s="638">
        <f t="shared" ca="1" si="10"/>
        <v>0</v>
      </c>
      <c r="T56" s="637">
        <f t="shared" ca="1" si="11"/>
        <v>0</v>
      </c>
      <c r="U56" s="638">
        <f t="shared" si="12"/>
        <v>2</v>
      </c>
      <c r="V56" s="638">
        <f t="shared" ca="1" si="13"/>
        <v>0</v>
      </c>
    </row>
    <row r="57" spans="1:22" x14ac:dyDescent="0.25">
      <c r="A57" t="s">
        <v>173</v>
      </c>
      <c r="B57" s="556">
        <v>2</v>
      </c>
      <c r="C57" t="s">
        <v>1501</v>
      </c>
      <c r="D57" t="s">
        <v>1526</v>
      </c>
      <c r="E57" s="556">
        <f ca="1">VLOOKUP(A57,Data!C:I,7,FALSE)</f>
        <v>0</v>
      </c>
      <c r="F57" s="636" t="str">
        <f t="shared" si="0"/>
        <v>PR.AC-22</v>
      </c>
      <c r="G57" s="636" t="str">
        <f t="shared" ca="1" si="1"/>
        <v>PR.AC-220</v>
      </c>
      <c r="I57" s="24" t="s">
        <v>1761</v>
      </c>
      <c r="J57" s="24" t="s">
        <v>1546</v>
      </c>
      <c r="K57" s="637">
        <f t="shared" ca="1" si="2"/>
        <v>0</v>
      </c>
      <c r="L57" s="638">
        <f t="shared" si="3"/>
        <v>7</v>
      </c>
      <c r="M57" s="638">
        <f t="shared" ca="1" si="4"/>
        <v>0</v>
      </c>
      <c r="N57" s="637">
        <f t="shared" ca="1" si="5"/>
        <v>0</v>
      </c>
      <c r="O57" s="638">
        <f t="shared" si="6"/>
        <v>3</v>
      </c>
      <c r="P57" s="638">
        <f t="shared" ca="1" si="7"/>
        <v>0</v>
      </c>
      <c r="Q57" s="637">
        <f t="shared" ca="1" si="8"/>
        <v>0</v>
      </c>
      <c r="R57" s="638">
        <f t="shared" si="9"/>
        <v>3</v>
      </c>
      <c r="S57" s="638">
        <f t="shared" ca="1" si="10"/>
        <v>0</v>
      </c>
      <c r="T57" s="637">
        <f t="shared" ca="1" si="11"/>
        <v>0</v>
      </c>
      <c r="U57" s="638">
        <f t="shared" si="12"/>
        <v>1</v>
      </c>
      <c r="V57" s="638">
        <f t="shared" ca="1" si="13"/>
        <v>0</v>
      </c>
    </row>
    <row r="58" spans="1:22" x14ac:dyDescent="0.25">
      <c r="A58" t="s">
        <v>173</v>
      </c>
      <c r="B58" s="556">
        <v>2</v>
      </c>
      <c r="C58" t="s">
        <v>1501</v>
      </c>
      <c r="D58" t="s">
        <v>1521</v>
      </c>
      <c r="E58" s="556">
        <f ca="1">VLOOKUP(A58,Data!C:I,7,FALSE)</f>
        <v>0</v>
      </c>
      <c r="F58" s="636" t="str">
        <f t="shared" si="0"/>
        <v>PR.MA-22</v>
      </c>
      <c r="G58" s="636" t="str">
        <f t="shared" ca="1" si="1"/>
        <v>PR.MA-220</v>
      </c>
      <c r="I58" s="24"/>
      <c r="J58" s="24" t="s">
        <v>1547</v>
      </c>
      <c r="K58" s="637">
        <f t="shared" ca="1" si="2"/>
        <v>0</v>
      </c>
      <c r="L58" s="638">
        <f t="shared" si="3"/>
        <v>5</v>
      </c>
      <c r="M58" s="638">
        <f t="shared" ca="1" si="4"/>
        <v>0</v>
      </c>
      <c r="N58" s="637">
        <f t="shared" ca="1" si="5"/>
        <v>0</v>
      </c>
      <c r="O58" s="638">
        <f t="shared" si="6"/>
        <v>2</v>
      </c>
      <c r="P58" s="638">
        <f t="shared" ca="1" si="7"/>
        <v>0</v>
      </c>
      <c r="Q58" s="637">
        <f t="shared" ca="1" si="8"/>
        <v>0</v>
      </c>
      <c r="R58" s="638">
        <f t="shared" si="9"/>
        <v>3</v>
      </c>
      <c r="S58" s="638">
        <f t="shared" ca="1" si="10"/>
        <v>0</v>
      </c>
      <c r="T58" s="637">
        <f t="shared" si="11"/>
        <v>0</v>
      </c>
      <c r="U58" s="638">
        <f t="shared" si="12"/>
        <v>0</v>
      </c>
      <c r="V58" s="638">
        <f t="shared" ca="1" si="13"/>
        <v>0</v>
      </c>
    </row>
    <row r="59" spans="1:22" x14ac:dyDescent="0.25">
      <c r="A59" t="s">
        <v>173</v>
      </c>
      <c r="B59" s="556">
        <v>2</v>
      </c>
      <c r="C59" t="s">
        <v>1501</v>
      </c>
      <c r="D59" t="s">
        <v>1520</v>
      </c>
      <c r="E59" s="556">
        <f ca="1">VLOOKUP(A59,Data!C:I,7,FALSE)</f>
        <v>0</v>
      </c>
      <c r="F59" s="636" t="str">
        <f t="shared" si="0"/>
        <v>PR.PT-32</v>
      </c>
      <c r="G59" s="636" t="str">
        <f t="shared" ca="1" si="1"/>
        <v>PR.PT-320</v>
      </c>
      <c r="I59" s="24"/>
      <c r="J59" s="24" t="s">
        <v>1540</v>
      </c>
      <c r="K59" s="637">
        <f t="shared" ca="1" si="2"/>
        <v>0</v>
      </c>
      <c r="L59" s="638">
        <f t="shared" si="3"/>
        <v>11</v>
      </c>
      <c r="M59" s="638">
        <f t="shared" ca="1" si="4"/>
        <v>0</v>
      </c>
      <c r="N59" s="637">
        <f t="shared" ca="1" si="5"/>
        <v>0</v>
      </c>
      <c r="O59" s="638">
        <f t="shared" si="6"/>
        <v>2</v>
      </c>
      <c r="P59" s="638">
        <f t="shared" ca="1" si="7"/>
        <v>0</v>
      </c>
      <c r="Q59" s="637">
        <f t="shared" ca="1" si="8"/>
        <v>0</v>
      </c>
      <c r="R59" s="638">
        <f t="shared" si="9"/>
        <v>4</v>
      </c>
      <c r="S59" s="638">
        <f t="shared" ca="1" si="10"/>
        <v>0</v>
      </c>
      <c r="T59" s="637">
        <f t="shared" ca="1" si="11"/>
        <v>0</v>
      </c>
      <c r="U59" s="638">
        <f t="shared" si="12"/>
        <v>5</v>
      </c>
      <c r="V59" s="638">
        <f t="shared" ca="1" si="13"/>
        <v>0</v>
      </c>
    </row>
    <row r="60" spans="1:22" x14ac:dyDescent="0.25">
      <c r="A60" t="s">
        <v>174</v>
      </c>
      <c r="B60" s="556">
        <v>2</v>
      </c>
      <c r="C60" t="s">
        <v>1502</v>
      </c>
      <c r="D60" t="s">
        <v>1527</v>
      </c>
      <c r="E60" s="556">
        <f ca="1">VLOOKUP(A60,Data!C:I,7,FALSE)</f>
        <v>0</v>
      </c>
      <c r="F60" s="636" t="str">
        <f t="shared" si="0"/>
        <v>DE.CM-22</v>
      </c>
      <c r="G60" s="636" t="str">
        <f t="shared" ca="1" si="1"/>
        <v>DE.CM-220</v>
      </c>
      <c r="I60" s="24"/>
      <c r="J60" s="24" t="s">
        <v>1534</v>
      </c>
      <c r="K60" s="637">
        <f t="shared" ca="1" si="2"/>
        <v>0</v>
      </c>
      <c r="L60" s="638">
        <f t="shared" si="3"/>
        <v>8</v>
      </c>
      <c r="M60" s="638">
        <f t="shared" ca="1" si="4"/>
        <v>0</v>
      </c>
      <c r="N60" s="637">
        <f t="shared" ca="1" si="5"/>
        <v>0</v>
      </c>
      <c r="O60" s="638">
        <f t="shared" si="6"/>
        <v>3</v>
      </c>
      <c r="P60" s="638">
        <f t="shared" ca="1" si="7"/>
        <v>0</v>
      </c>
      <c r="Q60" s="637">
        <f t="shared" ca="1" si="8"/>
        <v>0</v>
      </c>
      <c r="R60" s="638">
        <f t="shared" si="9"/>
        <v>3</v>
      </c>
      <c r="S60" s="638">
        <f t="shared" ca="1" si="10"/>
        <v>0</v>
      </c>
      <c r="T60" s="637">
        <f t="shared" ca="1" si="11"/>
        <v>0</v>
      </c>
      <c r="U60" s="638">
        <f t="shared" si="12"/>
        <v>2</v>
      </c>
      <c r="V60" s="638">
        <f t="shared" ca="1" si="13"/>
        <v>0</v>
      </c>
    </row>
    <row r="61" spans="1:22" x14ac:dyDescent="0.25">
      <c r="A61" t="s">
        <v>174</v>
      </c>
      <c r="B61" s="556">
        <v>2</v>
      </c>
      <c r="C61" t="s">
        <v>1502</v>
      </c>
      <c r="D61" t="s">
        <v>1523</v>
      </c>
      <c r="E61" s="556">
        <f ca="1">VLOOKUP(A61,Data!C:I,7,FALSE)</f>
        <v>0</v>
      </c>
      <c r="F61" s="636" t="str">
        <f t="shared" si="0"/>
        <v>DE.CM-32</v>
      </c>
      <c r="G61" s="636" t="str">
        <f t="shared" ca="1" si="1"/>
        <v>DE.CM-320</v>
      </c>
      <c r="I61" s="24"/>
      <c r="J61" s="24" t="s">
        <v>1535</v>
      </c>
      <c r="K61" s="637">
        <f t="shared" ca="1" si="2"/>
        <v>0</v>
      </c>
      <c r="L61" s="638">
        <f t="shared" si="3"/>
        <v>11</v>
      </c>
      <c r="M61" s="638">
        <f t="shared" ca="1" si="4"/>
        <v>0</v>
      </c>
      <c r="N61" s="637">
        <f t="shared" ca="1" si="5"/>
        <v>0</v>
      </c>
      <c r="O61" s="638">
        <f t="shared" si="6"/>
        <v>3</v>
      </c>
      <c r="P61" s="638">
        <f t="shared" ca="1" si="7"/>
        <v>0</v>
      </c>
      <c r="Q61" s="637">
        <f t="shared" ca="1" si="8"/>
        <v>0</v>
      </c>
      <c r="R61" s="638">
        <f t="shared" si="9"/>
        <v>7</v>
      </c>
      <c r="S61" s="638">
        <f t="shared" ca="1" si="10"/>
        <v>0</v>
      </c>
      <c r="T61" s="637">
        <f t="shared" ca="1" si="11"/>
        <v>0</v>
      </c>
      <c r="U61" s="638">
        <f t="shared" si="12"/>
        <v>1</v>
      </c>
      <c r="V61" s="638">
        <f t="shared" ca="1" si="13"/>
        <v>0</v>
      </c>
    </row>
    <row r="62" spans="1:22" x14ac:dyDescent="0.25">
      <c r="A62" t="s">
        <v>174</v>
      </c>
      <c r="B62" s="556">
        <v>2</v>
      </c>
      <c r="C62" t="s">
        <v>1502</v>
      </c>
      <c r="D62" t="s">
        <v>1524</v>
      </c>
      <c r="E62" s="556">
        <f ca="1">VLOOKUP(A62,Data!C:I,7,FALSE)</f>
        <v>0</v>
      </c>
      <c r="F62" s="636" t="str">
        <f t="shared" si="0"/>
        <v>DE.CM-62</v>
      </c>
      <c r="G62" s="636" t="str">
        <f t="shared" ca="1" si="1"/>
        <v>DE.CM-620</v>
      </c>
      <c r="I62" s="24"/>
      <c r="J62" s="24" t="s">
        <v>1538</v>
      </c>
      <c r="K62" s="637">
        <f t="shared" ca="1" si="2"/>
        <v>0</v>
      </c>
      <c r="L62" s="638">
        <f t="shared" si="3"/>
        <v>7</v>
      </c>
      <c r="M62" s="638">
        <f t="shared" ca="1" si="4"/>
        <v>0</v>
      </c>
      <c r="N62" s="637">
        <f t="shared" si="5"/>
        <v>0</v>
      </c>
      <c r="O62" s="638">
        <f t="shared" si="6"/>
        <v>0</v>
      </c>
      <c r="P62" s="638">
        <f t="shared" ca="1" si="7"/>
        <v>0</v>
      </c>
      <c r="Q62" s="637">
        <f t="shared" ca="1" si="8"/>
        <v>0</v>
      </c>
      <c r="R62" s="638">
        <f t="shared" si="9"/>
        <v>3</v>
      </c>
      <c r="S62" s="638">
        <f t="shared" ca="1" si="10"/>
        <v>0</v>
      </c>
      <c r="T62" s="637">
        <f t="shared" ca="1" si="11"/>
        <v>0</v>
      </c>
      <c r="U62" s="638">
        <f t="shared" si="12"/>
        <v>4</v>
      </c>
      <c r="V62" s="638">
        <f t="shared" ca="1" si="13"/>
        <v>0</v>
      </c>
    </row>
    <row r="63" spans="1:22" x14ac:dyDescent="0.25">
      <c r="A63" t="s">
        <v>174</v>
      </c>
      <c r="B63" s="556">
        <v>2</v>
      </c>
      <c r="C63" t="s">
        <v>1502</v>
      </c>
      <c r="D63" t="s">
        <v>1525</v>
      </c>
      <c r="E63" s="556">
        <f ca="1">VLOOKUP(A63,Data!C:I,7,FALSE)</f>
        <v>0</v>
      </c>
      <c r="F63" s="636" t="str">
        <f t="shared" si="0"/>
        <v>DE.CM-72</v>
      </c>
      <c r="G63" s="636" t="str">
        <f t="shared" ca="1" si="1"/>
        <v>DE.CM-720</v>
      </c>
      <c r="I63" s="24"/>
      <c r="J63" s="24" t="s">
        <v>1542</v>
      </c>
      <c r="K63" s="637">
        <f t="shared" ca="1" si="2"/>
        <v>0</v>
      </c>
      <c r="L63" s="638">
        <f t="shared" si="3"/>
        <v>4</v>
      </c>
      <c r="M63" s="638">
        <f t="shared" ca="1" si="4"/>
        <v>0</v>
      </c>
      <c r="N63" s="637">
        <f t="shared" si="5"/>
        <v>0</v>
      </c>
      <c r="O63" s="638">
        <f t="shared" si="6"/>
        <v>0</v>
      </c>
      <c r="P63" s="638">
        <f t="shared" ca="1" si="7"/>
        <v>0</v>
      </c>
      <c r="Q63" s="637">
        <f t="shared" ca="1" si="8"/>
        <v>0</v>
      </c>
      <c r="R63" s="638">
        <f t="shared" si="9"/>
        <v>2</v>
      </c>
      <c r="S63" s="638">
        <f t="shared" ca="1" si="10"/>
        <v>0</v>
      </c>
      <c r="T63" s="637">
        <f t="shared" ca="1" si="11"/>
        <v>0</v>
      </c>
      <c r="U63" s="638">
        <f t="shared" si="12"/>
        <v>2</v>
      </c>
      <c r="V63" s="638">
        <f t="shared" ca="1" si="13"/>
        <v>0</v>
      </c>
    </row>
    <row r="64" spans="1:22" x14ac:dyDescent="0.25">
      <c r="A64" t="s">
        <v>174</v>
      </c>
      <c r="B64" s="556">
        <v>2</v>
      </c>
      <c r="C64" t="s">
        <v>1501</v>
      </c>
      <c r="D64" t="s">
        <v>1526</v>
      </c>
      <c r="E64" s="556">
        <f ca="1">VLOOKUP(A64,Data!C:I,7,FALSE)</f>
        <v>0</v>
      </c>
      <c r="F64" s="636" t="str">
        <f t="shared" si="0"/>
        <v>PR.AC-22</v>
      </c>
      <c r="G64" s="636" t="str">
        <f t="shared" ca="1" si="1"/>
        <v>PR.AC-220</v>
      </c>
      <c r="I64" s="24"/>
      <c r="J64" s="24" t="s">
        <v>1539</v>
      </c>
      <c r="K64" s="637">
        <f t="shared" ca="1" si="2"/>
        <v>0</v>
      </c>
      <c r="L64" s="638">
        <f t="shared" si="3"/>
        <v>7</v>
      </c>
      <c r="M64" s="638">
        <f t="shared" ca="1" si="4"/>
        <v>0</v>
      </c>
      <c r="N64" s="637">
        <f t="shared" ca="1" si="5"/>
        <v>0</v>
      </c>
      <c r="O64" s="638">
        <f t="shared" si="6"/>
        <v>1</v>
      </c>
      <c r="P64" s="638">
        <f t="shared" ca="1" si="7"/>
        <v>0</v>
      </c>
      <c r="Q64" s="637">
        <f t="shared" ca="1" si="8"/>
        <v>0</v>
      </c>
      <c r="R64" s="638">
        <f t="shared" si="9"/>
        <v>2</v>
      </c>
      <c r="S64" s="638">
        <f t="shared" ca="1" si="10"/>
        <v>0</v>
      </c>
      <c r="T64" s="637">
        <f t="shared" ca="1" si="11"/>
        <v>0</v>
      </c>
      <c r="U64" s="638">
        <f t="shared" si="12"/>
        <v>4</v>
      </c>
      <c r="V64" s="638">
        <f t="shared" ca="1" si="13"/>
        <v>0</v>
      </c>
    </row>
    <row r="65" spans="1:22" x14ac:dyDescent="0.25">
      <c r="A65" t="s">
        <v>174</v>
      </c>
      <c r="B65" s="556">
        <v>2</v>
      </c>
      <c r="C65" t="s">
        <v>1501</v>
      </c>
      <c r="D65" t="s">
        <v>1521</v>
      </c>
      <c r="E65" s="556">
        <f ca="1">VLOOKUP(A65,Data!C:I,7,FALSE)</f>
        <v>0</v>
      </c>
      <c r="F65" s="636" t="str">
        <f t="shared" si="0"/>
        <v>PR.MA-22</v>
      </c>
      <c r="G65" s="636" t="str">
        <f t="shared" ca="1" si="1"/>
        <v>PR.MA-220</v>
      </c>
      <c r="I65" s="24" t="s">
        <v>1772</v>
      </c>
      <c r="J65" s="24" t="s">
        <v>1555</v>
      </c>
      <c r="K65" s="637">
        <f t="shared" ca="1" si="2"/>
        <v>0</v>
      </c>
      <c r="L65" s="638">
        <f t="shared" si="3"/>
        <v>5</v>
      </c>
      <c r="M65" s="638">
        <f t="shared" ca="1" si="4"/>
        <v>0</v>
      </c>
      <c r="N65" s="637">
        <f t="shared" ca="1" si="5"/>
        <v>0</v>
      </c>
      <c r="O65" s="638">
        <f t="shared" si="6"/>
        <v>1</v>
      </c>
      <c r="P65" s="638">
        <f t="shared" ca="1" si="7"/>
        <v>0</v>
      </c>
      <c r="Q65" s="637">
        <f t="shared" ca="1" si="8"/>
        <v>0</v>
      </c>
      <c r="R65" s="638">
        <f t="shared" si="9"/>
        <v>1</v>
      </c>
      <c r="S65" s="638">
        <f t="shared" ca="1" si="10"/>
        <v>0</v>
      </c>
      <c r="T65" s="637">
        <f t="shared" ca="1" si="11"/>
        <v>0</v>
      </c>
      <c r="U65" s="638">
        <f t="shared" si="12"/>
        <v>3</v>
      </c>
      <c r="V65" s="638">
        <f t="shared" ca="1" si="13"/>
        <v>0</v>
      </c>
    </row>
    <row r="66" spans="1:22" x14ac:dyDescent="0.25">
      <c r="A66" t="s">
        <v>174</v>
      </c>
      <c r="B66" s="556">
        <v>2</v>
      </c>
      <c r="C66" t="s">
        <v>1501</v>
      </c>
      <c r="D66" t="s">
        <v>1520</v>
      </c>
      <c r="E66" s="556">
        <f ca="1">VLOOKUP(A66,Data!C:I,7,FALSE)</f>
        <v>0</v>
      </c>
      <c r="F66" s="636" t="str">
        <f t="shared" si="0"/>
        <v>PR.PT-32</v>
      </c>
      <c r="G66" s="636" t="str">
        <f t="shared" ca="1" si="1"/>
        <v>PR.PT-320</v>
      </c>
      <c r="I66" s="24"/>
      <c r="J66" s="24" t="s">
        <v>1557</v>
      </c>
      <c r="K66" s="637">
        <f t="shared" ca="1" si="2"/>
        <v>0</v>
      </c>
      <c r="L66" s="638">
        <f t="shared" si="3"/>
        <v>1</v>
      </c>
      <c r="M66" s="638">
        <f t="shared" ca="1" si="4"/>
        <v>0</v>
      </c>
      <c r="N66" s="637">
        <f t="shared" si="5"/>
        <v>0</v>
      </c>
      <c r="O66" s="638">
        <f t="shared" si="6"/>
        <v>0</v>
      </c>
      <c r="P66" s="638">
        <f t="shared" ca="1" si="7"/>
        <v>0</v>
      </c>
      <c r="Q66" s="637">
        <f t="shared" ca="1" si="8"/>
        <v>0</v>
      </c>
      <c r="R66" s="638">
        <f t="shared" si="9"/>
        <v>1</v>
      </c>
      <c r="S66" s="638">
        <f t="shared" ca="1" si="10"/>
        <v>0</v>
      </c>
      <c r="T66" s="637">
        <f t="shared" si="11"/>
        <v>0</v>
      </c>
      <c r="U66" s="638">
        <f t="shared" si="12"/>
        <v>0</v>
      </c>
      <c r="V66" s="638">
        <f t="shared" ca="1" si="13"/>
        <v>0</v>
      </c>
    </row>
    <row r="67" spans="1:22" x14ac:dyDescent="0.25">
      <c r="A67" t="s">
        <v>965</v>
      </c>
      <c r="B67" s="556">
        <v>3</v>
      </c>
      <c r="C67" t="s">
        <v>1501</v>
      </c>
      <c r="D67" t="s">
        <v>1526</v>
      </c>
      <c r="E67" s="556">
        <f ca="1">VLOOKUP(A67,Data!C:I,7,FALSE)</f>
        <v>0</v>
      </c>
      <c r="F67" s="636" t="str">
        <f t="shared" ref="F67:F130" si="14">CONCATENATE($D67,$B67)</f>
        <v>PR.AC-23</v>
      </c>
      <c r="G67" s="636" t="str">
        <f t="shared" ref="G67:G130" ca="1" si="15">_xlfn.IFNA(CONCATENATE(F67,$E67),CONCATENATE(F67,$E67,0))</f>
        <v>PR.AC-230</v>
      </c>
      <c r="I67" s="24"/>
      <c r="J67" s="24" t="s">
        <v>1544</v>
      </c>
      <c r="K67" s="637">
        <f t="shared" ca="1" si="2"/>
        <v>0</v>
      </c>
      <c r="L67" s="638">
        <f t="shared" si="3"/>
        <v>10</v>
      </c>
      <c r="M67" s="638">
        <f t="shared" ca="1" si="4"/>
        <v>0</v>
      </c>
      <c r="N67" s="637">
        <f t="shared" ca="1" si="5"/>
        <v>0</v>
      </c>
      <c r="O67" s="638">
        <f t="shared" si="6"/>
        <v>2</v>
      </c>
      <c r="P67" s="638">
        <f t="shared" ca="1" si="7"/>
        <v>0</v>
      </c>
      <c r="Q67" s="637">
        <f t="shared" ca="1" si="8"/>
        <v>0</v>
      </c>
      <c r="R67" s="638">
        <f t="shared" si="9"/>
        <v>4</v>
      </c>
      <c r="S67" s="638">
        <f t="shared" ca="1" si="10"/>
        <v>0</v>
      </c>
      <c r="T67" s="637">
        <f t="shared" ca="1" si="11"/>
        <v>0</v>
      </c>
      <c r="U67" s="638">
        <f t="shared" si="12"/>
        <v>4</v>
      </c>
      <c r="V67" s="638">
        <f t="shared" ca="1" si="13"/>
        <v>0</v>
      </c>
    </row>
    <row r="68" spans="1:22" x14ac:dyDescent="0.25">
      <c r="A68" t="s">
        <v>965</v>
      </c>
      <c r="B68" s="556">
        <v>3</v>
      </c>
      <c r="C68" t="s">
        <v>1501</v>
      </c>
      <c r="D68" t="s">
        <v>1521</v>
      </c>
      <c r="E68" s="556">
        <f ca="1">VLOOKUP(A68,Data!C:I,7,FALSE)</f>
        <v>0</v>
      </c>
      <c r="F68" s="636" t="str">
        <f t="shared" si="14"/>
        <v>PR.MA-23</v>
      </c>
      <c r="G68" s="636" t="str">
        <f t="shared" ca="1" si="15"/>
        <v>PR.MA-230</v>
      </c>
      <c r="I68" s="24"/>
      <c r="J68" s="24" t="s">
        <v>1600</v>
      </c>
      <c r="K68" s="637">
        <f t="shared" ca="1" si="2"/>
        <v>0</v>
      </c>
      <c r="L68" s="638">
        <f t="shared" si="3"/>
        <v>5</v>
      </c>
      <c r="M68" s="638">
        <f t="shared" ca="1" si="4"/>
        <v>0</v>
      </c>
      <c r="N68" s="637">
        <f t="shared" ca="1" si="5"/>
        <v>0</v>
      </c>
      <c r="O68" s="638">
        <f t="shared" si="6"/>
        <v>1</v>
      </c>
      <c r="P68" s="638">
        <f t="shared" ca="1" si="7"/>
        <v>0</v>
      </c>
      <c r="Q68" s="637">
        <f t="shared" ca="1" si="8"/>
        <v>0</v>
      </c>
      <c r="R68" s="638">
        <f t="shared" si="9"/>
        <v>4</v>
      </c>
      <c r="S68" s="638">
        <f t="shared" ca="1" si="10"/>
        <v>0</v>
      </c>
      <c r="T68" s="637">
        <f t="shared" si="11"/>
        <v>0</v>
      </c>
      <c r="U68" s="638">
        <f t="shared" si="12"/>
        <v>0</v>
      </c>
      <c r="V68" s="638">
        <f t="shared" ca="1" si="13"/>
        <v>0</v>
      </c>
    </row>
    <row r="69" spans="1:22" x14ac:dyDescent="0.25">
      <c r="A69" t="s">
        <v>965</v>
      </c>
      <c r="B69" s="556">
        <v>3</v>
      </c>
      <c r="C69" t="s">
        <v>1501</v>
      </c>
      <c r="D69" t="s">
        <v>1520</v>
      </c>
      <c r="E69" s="556">
        <f ca="1">VLOOKUP(A69,Data!C:I,7,FALSE)</f>
        <v>0</v>
      </c>
      <c r="F69" s="636" t="str">
        <f t="shared" si="14"/>
        <v>PR.PT-33</v>
      </c>
      <c r="G69" s="636" t="str">
        <f t="shared" ca="1" si="15"/>
        <v>PR.PT-330</v>
      </c>
      <c r="I69" s="24"/>
      <c r="J69" s="24" t="s">
        <v>1558</v>
      </c>
      <c r="K69" s="637">
        <f t="shared" ca="1" si="2"/>
        <v>0</v>
      </c>
      <c r="L69" s="638">
        <f t="shared" si="3"/>
        <v>1</v>
      </c>
      <c r="M69" s="638">
        <f t="shared" ca="1" si="4"/>
        <v>0</v>
      </c>
      <c r="N69" s="637">
        <f t="shared" si="5"/>
        <v>0</v>
      </c>
      <c r="O69" s="638">
        <f t="shared" si="6"/>
        <v>0</v>
      </c>
      <c r="P69" s="638">
        <f t="shared" ca="1" si="7"/>
        <v>0</v>
      </c>
      <c r="Q69" s="637">
        <f t="shared" si="8"/>
        <v>0</v>
      </c>
      <c r="R69" s="638">
        <f t="shared" si="9"/>
        <v>0</v>
      </c>
      <c r="S69" s="638">
        <f t="shared" ca="1" si="10"/>
        <v>0</v>
      </c>
      <c r="T69" s="637">
        <f t="shared" ca="1" si="11"/>
        <v>0</v>
      </c>
      <c r="U69" s="638">
        <f t="shared" si="12"/>
        <v>1</v>
      </c>
      <c r="V69" s="638">
        <f t="shared" ca="1" si="13"/>
        <v>0</v>
      </c>
    </row>
    <row r="70" spans="1:22" x14ac:dyDescent="0.25">
      <c r="A70" t="s">
        <v>966</v>
      </c>
      <c r="B70" s="556">
        <v>3</v>
      </c>
      <c r="C70" t="s">
        <v>1502</v>
      </c>
      <c r="D70" t="s">
        <v>1527</v>
      </c>
      <c r="E70" s="556">
        <f ca="1">VLOOKUP(A70,Data!C:I,7,FALSE)</f>
        <v>0</v>
      </c>
      <c r="F70" s="636" t="str">
        <f t="shared" si="14"/>
        <v>DE.CM-23</v>
      </c>
      <c r="G70" s="636" t="str">
        <f t="shared" ca="1" si="15"/>
        <v>DE.CM-230</v>
      </c>
      <c r="I70" s="24"/>
      <c r="J70" s="24" t="s">
        <v>1553</v>
      </c>
      <c r="K70" s="637">
        <f t="shared" ca="1" si="2"/>
        <v>0</v>
      </c>
      <c r="L70" s="638">
        <f t="shared" si="3"/>
        <v>3</v>
      </c>
      <c r="M70" s="638">
        <f t="shared" ca="1" si="4"/>
        <v>0</v>
      </c>
      <c r="N70" s="637">
        <f t="shared" si="5"/>
        <v>0</v>
      </c>
      <c r="O70" s="638">
        <f t="shared" si="6"/>
        <v>0</v>
      </c>
      <c r="P70" s="638">
        <f t="shared" ca="1" si="7"/>
        <v>0</v>
      </c>
      <c r="Q70" s="637">
        <f t="shared" ca="1" si="8"/>
        <v>0</v>
      </c>
      <c r="R70" s="638">
        <f t="shared" si="9"/>
        <v>1</v>
      </c>
      <c r="S70" s="638">
        <f t="shared" ca="1" si="10"/>
        <v>0</v>
      </c>
      <c r="T70" s="637">
        <f t="shared" ca="1" si="11"/>
        <v>0</v>
      </c>
      <c r="U70" s="638">
        <f t="shared" si="12"/>
        <v>2</v>
      </c>
      <c r="V70" s="638">
        <f t="shared" ca="1" si="13"/>
        <v>0</v>
      </c>
    </row>
    <row r="71" spans="1:22" x14ac:dyDescent="0.25">
      <c r="A71" t="s">
        <v>966</v>
      </c>
      <c r="B71" s="556">
        <v>3</v>
      </c>
      <c r="C71" t="s">
        <v>1502</v>
      </c>
      <c r="D71" t="s">
        <v>1523</v>
      </c>
      <c r="E71" s="556">
        <f ca="1">VLOOKUP(A71,Data!C:I,7,FALSE)</f>
        <v>0</v>
      </c>
      <c r="F71" s="636" t="str">
        <f t="shared" si="14"/>
        <v>DE.CM-33</v>
      </c>
      <c r="G71" s="636" t="str">
        <f t="shared" ca="1" si="15"/>
        <v>DE.CM-330</v>
      </c>
      <c r="I71" s="24"/>
      <c r="J71" s="24" t="s">
        <v>1781</v>
      </c>
      <c r="K71" s="637">
        <f t="shared" si="2"/>
        <v>0</v>
      </c>
      <c r="L71" s="638">
        <f t="shared" si="3"/>
        <v>0</v>
      </c>
      <c r="M71" s="638">
        <f t="shared" ca="1" si="4"/>
        <v>0</v>
      </c>
      <c r="N71" s="637">
        <f t="shared" si="5"/>
        <v>0</v>
      </c>
      <c r="O71" s="638">
        <f t="shared" si="6"/>
        <v>0</v>
      </c>
      <c r="P71" s="638">
        <f t="shared" ca="1" si="7"/>
        <v>0</v>
      </c>
      <c r="Q71" s="637">
        <f t="shared" si="8"/>
        <v>0</v>
      </c>
      <c r="R71" s="638">
        <f t="shared" si="9"/>
        <v>0</v>
      </c>
      <c r="S71" s="638">
        <f t="shared" ca="1" si="10"/>
        <v>0</v>
      </c>
      <c r="T71" s="637">
        <f t="shared" si="11"/>
        <v>0</v>
      </c>
      <c r="U71" s="638">
        <f t="shared" si="12"/>
        <v>0</v>
      </c>
      <c r="V71" s="638">
        <f t="shared" ca="1" si="13"/>
        <v>0</v>
      </c>
    </row>
    <row r="72" spans="1:22" x14ac:dyDescent="0.25">
      <c r="A72" t="s">
        <v>966</v>
      </c>
      <c r="B72" s="556">
        <v>3</v>
      </c>
      <c r="C72" t="s">
        <v>1502</v>
      </c>
      <c r="D72" t="s">
        <v>1524</v>
      </c>
      <c r="E72" s="556">
        <f ca="1">VLOOKUP(A72,Data!C:I,7,FALSE)</f>
        <v>0</v>
      </c>
      <c r="F72" s="636" t="str">
        <f t="shared" si="14"/>
        <v>DE.CM-63</v>
      </c>
      <c r="G72" s="636" t="str">
        <f t="shared" ca="1" si="15"/>
        <v>DE.CM-630</v>
      </c>
      <c r="I72" s="24"/>
      <c r="J72" s="24" t="s">
        <v>1531</v>
      </c>
      <c r="K72" s="637">
        <f t="shared" ca="1" si="2"/>
        <v>0</v>
      </c>
      <c r="L72" s="638">
        <f t="shared" si="3"/>
        <v>13</v>
      </c>
      <c r="M72" s="638">
        <f t="shared" ca="1" si="4"/>
        <v>0</v>
      </c>
      <c r="N72" s="637">
        <f t="shared" ca="1" si="5"/>
        <v>0</v>
      </c>
      <c r="O72" s="638">
        <f t="shared" si="6"/>
        <v>1</v>
      </c>
      <c r="P72" s="638">
        <f t="shared" ca="1" si="7"/>
        <v>0</v>
      </c>
      <c r="Q72" s="637">
        <f t="shared" ca="1" si="8"/>
        <v>0</v>
      </c>
      <c r="R72" s="638">
        <f t="shared" si="9"/>
        <v>1</v>
      </c>
      <c r="S72" s="638">
        <f t="shared" ca="1" si="10"/>
        <v>0</v>
      </c>
      <c r="T72" s="637">
        <f t="shared" ca="1" si="11"/>
        <v>0</v>
      </c>
      <c r="U72" s="638">
        <f t="shared" si="12"/>
        <v>11</v>
      </c>
      <c r="V72" s="638">
        <f t="shared" ca="1" si="13"/>
        <v>0</v>
      </c>
    </row>
    <row r="73" spans="1:22" x14ac:dyDescent="0.25">
      <c r="A73" t="s">
        <v>966</v>
      </c>
      <c r="B73" s="556">
        <v>3</v>
      </c>
      <c r="C73" t="s">
        <v>1502</v>
      </c>
      <c r="D73" t="s">
        <v>1525</v>
      </c>
      <c r="E73" s="556">
        <f ca="1">VLOOKUP(A73,Data!C:I,7,FALSE)</f>
        <v>0</v>
      </c>
      <c r="F73" s="636" t="str">
        <f t="shared" si="14"/>
        <v>DE.CM-73</v>
      </c>
      <c r="G73" s="636" t="str">
        <f t="shared" ca="1" si="15"/>
        <v>DE.CM-730</v>
      </c>
      <c r="I73" s="24"/>
      <c r="J73" s="24" t="s">
        <v>1569</v>
      </c>
      <c r="K73" s="637">
        <f t="shared" ca="1" si="2"/>
        <v>0</v>
      </c>
      <c r="L73" s="638">
        <f t="shared" si="3"/>
        <v>37</v>
      </c>
      <c r="M73" s="638">
        <f t="shared" ca="1" si="4"/>
        <v>0</v>
      </c>
      <c r="N73" s="637">
        <f t="shared" ca="1" si="5"/>
        <v>0</v>
      </c>
      <c r="O73" s="638">
        <f t="shared" si="6"/>
        <v>8</v>
      </c>
      <c r="P73" s="638">
        <f t="shared" ca="1" si="7"/>
        <v>0</v>
      </c>
      <c r="Q73" s="637">
        <f t="shared" ca="1" si="8"/>
        <v>0</v>
      </c>
      <c r="R73" s="638">
        <f t="shared" si="9"/>
        <v>15</v>
      </c>
      <c r="S73" s="638">
        <f t="shared" ca="1" si="10"/>
        <v>0</v>
      </c>
      <c r="T73" s="637">
        <f t="shared" ca="1" si="11"/>
        <v>0</v>
      </c>
      <c r="U73" s="638">
        <f t="shared" si="12"/>
        <v>14</v>
      </c>
      <c r="V73" s="638">
        <f t="shared" ca="1" si="13"/>
        <v>0</v>
      </c>
    </row>
    <row r="74" spans="1:22" x14ac:dyDescent="0.25">
      <c r="A74" t="s">
        <v>966</v>
      </c>
      <c r="B74" s="556">
        <v>3</v>
      </c>
      <c r="C74" t="s">
        <v>1501</v>
      </c>
      <c r="D74" t="s">
        <v>1520</v>
      </c>
      <c r="E74" s="556">
        <f ca="1">VLOOKUP(A74,Data!C:I,7,FALSE)</f>
        <v>0</v>
      </c>
      <c r="F74" s="636" t="str">
        <f t="shared" si="14"/>
        <v>PR.PT-33</v>
      </c>
      <c r="G74" s="636" t="str">
        <f t="shared" ca="1" si="15"/>
        <v>PR.PT-330</v>
      </c>
      <c r="I74" s="24"/>
      <c r="J74" s="24" t="s">
        <v>1594</v>
      </c>
      <c r="K74" s="637">
        <f t="shared" ca="1" si="2"/>
        <v>0</v>
      </c>
      <c r="L74" s="638">
        <f t="shared" si="3"/>
        <v>6</v>
      </c>
      <c r="M74" s="638">
        <f t="shared" ca="1" si="4"/>
        <v>0</v>
      </c>
      <c r="N74" s="637">
        <f t="shared" si="5"/>
        <v>0</v>
      </c>
      <c r="O74" s="638">
        <f t="shared" si="6"/>
        <v>0</v>
      </c>
      <c r="P74" s="638">
        <f t="shared" ca="1" si="7"/>
        <v>0</v>
      </c>
      <c r="Q74" s="637">
        <f t="shared" ca="1" si="8"/>
        <v>0</v>
      </c>
      <c r="R74" s="638">
        <f t="shared" si="9"/>
        <v>2</v>
      </c>
      <c r="S74" s="638">
        <f t="shared" ca="1" si="10"/>
        <v>0</v>
      </c>
      <c r="T74" s="637">
        <f t="shared" ca="1" si="11"/>
        <v>0</v>
      </c>
      <c r="U74" s="638">
        <f t="shared" si="12"/>
        <v>4</v>
      </c>
      <c r="V74" s="638">
        <f t="shared" ca="1" si="13"/>
        <v>0</v>
      </c>
    </row>
    <row r="75" spans="1:22" x14ac:dyDescent="0.25">
      <c r="A75" t="s">
        <v>967</v>
      </c>
      <c r="B75" s="556">
        <v>2</v>
      </c>
      <c r="C75" t="s">
        <v>1501</v>
      </c>
      <c r="D75" t="s">
        <v>1515</v>
      </c>
      <c r="E75" s="556">
        <f ca="1">VLOOKUP(A75,Data!C:I,7,FALSE)</f>
        <v>0</v>
      </c>
      <c r="F75" s="636" t="str">
        <f t="shared" si="14"/>
        <v>PR.AC-12</v>
      </c>
      <c r="G75" s="636" t="str">
        <f t="shared" ca="1" si="15"/>
        <v>PR.AC-120</v>
      </c>
      <c r="I75" s="24"/>
      <c r="J75" s="24" t="s">
        <v>1618</v>
      </c>
      <c r="K75" s="637">
        <f t="shared" ca="1" si="2"/>
        <v>0</v>
      </c>
      <c r="L75" s="638">
        <f t="shared" si="3"/>
        <v>8</v>
      </c>
      <c r="M75" s="638">
        <f t="shared" ca="1" si="4"/>
        <v>0</v>
      </c>
      <c r="N75" s="637">
        <f t="shared" ca="1" si="5"/>
        <v>0</v>
      </c>
      <c r="O75" s="638">
        <f t="shared" si="6"/>
        <v>2</v>
      </c>
      <c r="P75" s="638">
        <f t="shared" ca="1" si="7"/>
        <v>0</v>
      </c>
      <c r="Q75" s="637">
        <f t="shared" ca="1" si="8"/>
        <v>0</v>
      </c>
      <c r="R75" s="638">
        <f t="shared" si="9"/>
        <v>3</v>
      </c>
      <c r="S75" s="638">
        <f t="shared" ca="1" si="10"/>
        <v>0</v>
      </c>
      <c r="T75" s="637">
        <f t="shared" ca="1" si="11"/>
        <v>0</v>
      </c>
      <c r="U75" s="638">
        <f t="shared" si="12"/>
        <v>3</v>
      </c>
      <c r="V75" s="638">
        <f t="shared" ca="1" si="13"/>
        <v>0</v>
      </c>
    </row>
    <row r="76" spans="1:22" x14ac:dyDescent="0.25">
      <c r="A76" t="s">
        <v>967</v>
      </c>
      <c r="B76" s="556">
        <v>2</v>
      </c>
      <c r="C76" t="s">
        <v>1501</v>
      </c>
      <c r="D76" t="s">
        <v>1526</v>
      </c>
      <c r="E76" s="556">
        <f ca="1">VLOOKUP(A76,Data!C:I,7,FALSE)</f>
        <v>0</v>
      </c>
      <c r="F76" s="636" t="str">
        <f t="shared" si="14"/>
        <v>PR.AC-22</v>
      </c>
      <c r="G76" s="636" t="str">
        <f t="shared" ca="1" si="15"/>
        <v>PR.AC-220</v>
      </c>
      <c r="I76" s="24"/>
      <c r="J76" s="24" t="s">
        <v>1614</v>
      </c>
      <c r="K76" s="637">
        <f t="shared" ca="1" si="2"/>
        <v>0</v>
      </c>
      <c r="L76" s="638">
        <f t="shared" si="3"/>
        <v>4</v>
      </c>
      <c r="M76" s="638">
        <f t="shared" ca="1" si="4"/>
        <v>0</v>
      </c>
      <c r="N76" s="637">
        <f t="shared" si="5"/>
        <v>0</v>
      </c>
      <c r="O76" s="638">
        <f t="shared" si="6"/>
        <v>0</v>
      </c>
      <c r="P76" s="638">
        <f t="shared" ca="1" si="7"/>
        <v>0</v>
      </c>
      <c r="Q76" s="637">
        <f t="shared" ca="1" si="8"/>
        <v>0</v>
      </c>
      <c r="R76" s="638">
        <f t="shared" si="9"/>
        <v>2</v>
      </c>
      <c r="S76" s="638">
        <f t="shared" ca="1" si="10"/>
        <v>0</v>
      </c>
      <c r="T76" s="637">
        <f t="shared" ca="1" si="11"/>
        <v>0</v>
      </c>
      <c r="U76" s="638">
        <f t="shared" si="12"/>
        <v>2</v>
      </c>
      <c r="V76" s="638">
        <f t="shared" ca="1" si="13"/>
        <v>0</v>
      </c>
    </row>
    <row r="77" spans="1:22" x14ac:dyDescent="0.25">
      <c r="A77" t="s">
        <v>967</v>
      </c>
      <c r="B77" s="556">
        <v>2</v>
      </c>
      <c r="C77" t="s">
        <v>1501</v>
      </c>
      <c r="D77" t="s">
        <v>1518</v>
      </c>
      <c r="E77" s="556">
        <f ca="1">VLOOKUP(A77,Data!C:I,7,FALSE)</f>
        <v>0</v>
      </c>
      <c r="F77" s="636" t="str">
        <f t="shared" si="14"/>
        <v>PR.AC-32</v>
      </c>
      <c r="G77" s="636" t="str">
        <f t="shared" ca="1" si="15"/>
        <v>PR.AC-320</v>
      </c>
      <c r="I77" s="24" t="s">
        <v>1788</v>
      </c>
      <c r="J77" s="24" t="s">
        <v>1556</v>
      </c>
      <c r="K77" s="637">
        <f t="shared" ca="1" si="2"/>
        <v>0</v>
      </c>
      <c r="L77" s="638">
        <f t="shared" si="3"/>
        <v>3</v>
      </c>
      <c r="M77" s="638">
        <f t="shared" ca="1" si="4"/>
        <v>0</v>
      </c>
      <c r="N77" s="637">
        <f t="shared" ca="1" si="5"/>
        <v>0</v>
      </c>
      <c r="O77" s="638">
        <f t="shared" si="6"/>
        <v>1</v>
      </c>
      <c r="P77" s="638">
        <f t="shared" ca="1" si="7"/>
        <v>0</v>
      </c>
      <c r="Q77" s="637">
        <f t="shared" ca="1" si="8"/>
        <v>0</v>
      </c>
      <c r="R77" s="638">
        <f t="shared" si="9"/>
        <v>1</v>
      </c>
      <c r="S77" s="638">
        <f t="shared" ca="1" si="10"/>
        <v>0</v>
      </c>
      <c r="T77" s="637">
        <f t="shared" ca="1" si="11"/>
        <v>0</v>
      </c>
      <c r="U77" s="638">
        <f t="shared" si="12"/>
        <v>1</v>
      </c>
      <c r="V77" s="638">
        <f t="shared" ca="1" si="13"/>
        <v>0</v>
      </c>
    </row>
    <row r="78" spans="1:22" x14ac:dyDescent="0.25">
      <c r="A78" t="s">
        <v>967</v>
      </c>
      <c r="B78" s="556">
        <v>2</v>
      </c>
      <c r="C78" t="s">
        <v>1501</v>
      </c>
      <c r="D78" t="s">
        <v>1522</v>
      </c>
      <c r="E78" s="556">
        <f ca="1">VLOOKUP(A78,Data!C:I,7,FALSE)</f>
        <v>0</v>
      </c>
      <c r="F78" s="636" t="str">
        <f t="shared" si="14"/>
        <v>PR.AC-42</v>
      </c>
      <c r="G78" s="636" t="str">
        <f t="shared" ca="1" si="15"/>
        <v>PR.AC-420</v>
      </c>
      <c r="I78" s="24"/>
      <c r="J78" s="24" t="s">
        <v>1521</v>
      </c>
      <c r="K78" s="637">
        <f t="shared" ca="1" si="2"/>
        <v>0</v>
      </c>
      <c r="L78" s="638">
        <f t="shared" si="3"/>
        <v>12</v>
      </c>
      <c r="M78" s="638">
        <f t="shared" ca="1" si="4"/>
        <v>0</v>
      </c>
      <c r="N78" s="637">
        <f t="shared" ca="1" si="5"/>
        <v>0</v>
      </c>
      <c r="O78" s="638">
        <f t="shared" si="6"/>
        <v>2</v>
      </c>
      <c r="P78" s="638">
        <f t="shared" ca="1" si="7"/>
        <v>0</v>
      </c>
      <c r="Q78" s="637">
        <f t="shared" ca="1" si="8"/>
        <v>0</v>
      </c>
      <c r="R78" s="638">
        <f t="shared" si="9"/>
        <v>8</v>
      </c>
      <c r="S78" s="638">
        <f t="shared" ca="1" si="10"/>
        <v>0</v>
      </c>
      <c r="T78" s="637">
        <f t="shared" ca="1" si="11"/>
        <v>0</v>
      </c>
      <c r="U78" s="638">
        <f t="shared" si="12"/>
        <v>2</v>
      </c>
      <c r="V78" s="638">
        <f t="shared" ca="1" si="13"/>
        <v>0</v>
      </c>
    </row>
    <row r="79" spans="1:22" x14ac:dyDescent="0.25">
      <c r="A79" t="s">
        <v>968</v>
      </c>
      <c r="B79" s="556">
        <v>2</v>
      </c>
      <c r="C79" t="s">
        <v>1501</v>
      </c>
      <c r="D79" t="s">
        <v>1515</v>
      </c>
      <c r="E79" s="556">
        <f ca="1">VLOOKUP(A79,Data!C:I,7,FALSE)</f>
        <v>0</v>
      </c>
      <c r="F79" s="636" t="str">
        <f t="shared" si="14"/>
        <v>PR.AC-12</v>
      </c>
      <c r="G79" s="636" t="str">
        <f t="shared" ca="1" si="15"/>
        <v>PR.AC-120</v>
      </c>
      <c r="I79" s="24" t="s">
        <v>1793</v>
      </c>
      <c r="J79" s="24" t="s">
        <v>1528</v>
      </c>
      <c r="K79" s="637">
        <f t="shared" ca="1" si="2"/>
        <v>0</v>
      </c>
      <c r="L79" s="638">
        <f t="shared" si="3"/>
        <v>11</v>
      </c>
      <c r="M79" s="638">
        <f t="shared" ca="1" si="4"/>
        <v>0</v>
      </c>
      <c r="N79" s="637">
        <f t="shared" ca="1" si="5"/>
        <v>0</v>
      </c>
      <c r="O79" s="638">
        <f t="shared" si="6"/>
        <v>2</v>
      </c>
      <c r="P79" s="638">
        <f t="shared" ca="1" si="7"/>
        <v>0</v>
      </c>
      <c r="Q79" s="637">
        <f t="shared" ca="1" si="8"/>
        <v>0</v>
      </c>
      <c r="R79" s="638">
        <f t="shared" si="9"/>
        <v>6</v>
      </c>
      <c r="S79" s="638">
        <f t="shared" ca="1" si="10"/>
        <v>0</v>
      </c>
      <c r="T79" s="637">
        <f t="shared" ca="1" si="11"/>
        <v>0</v>
      </c>
      <c r="U79" s="638">
        <f t="shared" si="12"/>
        <v>3</v>
      </c>
      <c r="V79" s="638">
        <f t="shared" ca="1" si="13"/>
        <v>0</v>
      </c>
    </row>
    <row r="80" spans="1:22" x14ac:dyDescent="0.25">
      <c r="A80" t="s">
        <v>968</v>
      </c>
      <c r="B80" s="556">
        <v>2</v>
      </c>
      <c r="C80" t="s">
        <v>1501</v>
      </c>
      <c r="D80" t="s">
        <v>1526</v>
      </c>
      <c r="E80" s="556">
        <f ca="1">VLOOKUP(A80,Data!C:I,7,FALSE)</f>
        <v>0</v>
      </c>
      <c r="F80" s="636" t="str">
        <f t="shared" si="14"/>
        <v>PR.AC-22</v>
      </c>
      <c r="G80" s="636" t="str">
        <f t="shared" ca="1" si="15"/>
        <v>PR.AC-220</v>
      </c>
      <c r="I80" s="24"/>
      <c r="J80" s="24" t="s">
        <v>1519</v>
      </c>
      <c r="K80" s="637">
        <f t="shared" ca="1" si="2"/>
        <v>0</v>
      </c>
      <c r="L80" s="638">
        <f t="shared" si="3"/>
        <v>4</v>
      </c>
      <c r="M80" s="638">
        <f t="shared" ca="1" si="4"/>
        <v>0</v>
      </c>
      <c r="N80" s="637">
        <f t="shared" ca="1" si="5"/>
        <v>0</v>
      </c>
      <c r="O80" s="638">
        <f t="shared" si="6"/>
        <v>2</v>
      </c>
      <c r="P80" s="638">
        <f t="shared" ca="1" si="7"/>
        <v>0</v>
      </c>
      <c r="Q80" s="637">
        <f t="shared" ca="1" si="8"/>
        <v>0</v>
      </c>
      <c r="R80" s="638">
        <f t="shared" si="9"/>
        <v>2</v>
      </c>
      <c r="S80" s="638">
        <f t="shared" ca="1" si="10"/>
        <v>0</v>
      </c>
      <c r="T80" s="637">
        <f t="shared" si="11"/>
        <v>0</v>
      </c>
      <c r="U80" s="638">
        <f t="shared" si="12"/>
        <v>0</v>
      </c>
      <c r="V80" s="638">
        <f t="shared" ca="1" si="13"/>
        <v>0</v>
      </c>
    </row>
    <row r="81" spans="1:22" x14ac:dyDescent="0.25">
      <c r="A81" t="s">
        <v>968</v>
      </c>
      <c r="B81" s="556">
        <v>2</v>
      </c>
      <c r="C81" t="s">
        <v>1501</v>
      </c>
      <c r="D81" t="s">
        <v>1518</v>
      </c>
      <c r="E81" s="556">
        <f ca="1">VLOOKUP(A81,Data!C:I,7,FALSE)</f>
        <v>0</v>
      </c>
      <c r="F81" s="636" t="str">
        <f t="shared" si="14"/>
        <v>PR.AC-32</v>
      </c>
      <c r="G81" s="636" t="str">
        <f t="shared" ca="1" si="15"/>
        <v>PR.AC-320</v>
      </c>
      <c r="I81" s="24"/>
      <c r="J81" s="24" t="s">
        <v>1520</v>
      </c>
      <c r="K81" s="637">
        <f t="shared" ref="K81:K123" ca="1" si="16">IF(L81=0,0,M81/L81)</f>
        <v>0</v>
      </c>
      <c r="L81" s="638">
        <f t="shared" ref="L81:L123" si="17">SUM(O81+R81+U81)</f>
        <v>16</v>
      </c>
      <c r="M81" s="638">
        <f t="shared" ref="M81:M123" ca="1" si="18">SUM(P81+S81+V81)</f>
        <v>0</v>
      </c>
      <c r="N81" s="637">
        <f t="shared" ref="N81:N123" ca="1" si="19">IF(O81=0,0,P81/O81)</f>
        <v>0</v>
      </c>
      <c r="O81" s="638">
        <f t="shared" ref="O81:O123" si="20">COUNTIF($F:$F,CONCATENATE($J81,N$15))</f>
        <v>2</v>
      </c>
      <c r="P81" s="638">
        <f t="shared" ref="P81:P123" ca="1" si="21">COUNTIF($G:$G,CONCATENATE($J81,N$15,1))</f>
        <v>0</v>
      </c>
      <c r="Q81" s="637">
        <f t="shared" ref="Q81:Q123" ca="1" si="22">IF(R81=0,0,S81/R81)</f>
        <v>0</v>
      </c>
      <c r="R81" s="638">
        <f t="shared" ref="R81:R123" si="23">COUNTIF($F:$F,CONCATENATE($J81,Q$15))</f>
        <v>9</v>
      </c>
      <c r="S81" s="638">
        <f t="shared" ref="S81:S123" ca="1" si="24">COUNTIF($G:$G,CONCATENATE($J81,Q$15,1))</f>
        <v>0</v>
      </c>
      <c r="T81" s="637">
        <f t="shared" ref="T81:T123" ca="1" si="25">IF(U81=0,0,V81/U81)</f>
        <v>0</v>
      </c>
      <c r="U81" s="638">
        <f t="shared" ref="U81:U123" si="26">COUNTIF($F:$F,CONCATENATE($J81,T$15))</f>
        <v>5</v>
      </c>
      <c r="V81" s="638">
        <f t="shared" ref="V81:V123" ca="1" si="27">COUNTIF($G:$G,CONCATENATE($J81,T$15,1))</f>
        <v>0</v>
      </c>
    </row>
    <row r="82" spans="1:22" x14ac:dyDescent="0.25">
      <c r="A82" t="s">
        <v>968</v>
      </c>
      <c r="B82" s="556">
        <v>2</v>
      </c>
      <c r="C82" t="s">
        <v>1501</v>
      </c>
      <c r="D82" t="s">
        <v>1522</v>
      </c>
      <c r="E82" s="556">
        <f ca="1">VLOOKUP(A82,Data!C:I,7,FALSE)</f>
        <v>0</v>
      </c>
      <c r="F82" s="636" t="str">
        <f t="shared" si="14"/>
        <v>PR.AC-42</v>
      </c>
      <c r="G82" s="636" t="str">
        <f t="shared" ca="1" si="15"/>
        <v>PR.AC-420</v>
      </c>
      <c r="I82" s="24"/>
      <c r="J82" s="24" t="s">
        <v>1533</v>
      </c>
      <c r="K82" s="637">
        <f t="shared" ca="1" si="16"/>
        <v>0</v>
      </c>
      <c r="L82" s="638">
        <f t="shared" si="17"/>
        <v>13</v>
      </c>
      <c r="M82" s="638">
        <f t="shared" ca="1" si="18"/>
        <v>0</v>
      </c>
      <c r="N82" s="637">
        <f t="shared" ca="1" si="19"/>
        <v>0</v>
      </c>
      <c r="O82" s="638">
        <f t="shared" si="20"/>
        <v>1</v>
      </c>
      <c r="P82" s="638">
        <f t="shared" ca="1" si="21"/>
        <v>0</v>
      </c>
      <c r="Q82" s="637">
        <f t="shared" ca="1" si="22"/>
        <v>0</v>
      </c>
      <c r="R82" s="638">
        <f t="shared" si="23"/>
        <v>6</v>
      </c>
      <c r="S82" s="638">
        <f t="shared" ca="1" si="24"/>
        <v>0</v>
      </c>
      <c r="T82" s="637">
        <f t="shared" ca="1" si="25"/>
        <v>0</v>
      </c>
      <c r="U82" s="638">
        <f t="shared" si="26"/>
        <v>6</v>
      </c>
      <c r="V82" s="638">
        <f t="shared" ca="1" si="27"/>
        <v>0</v>
      </c>
    </row>
    <row r="83" spans="1:22" x14ac:dyDescent="0.25">
      <c r="A83" t="s">
        <v>969</v>
      </c>
      <c r="B83" s="556">
        <v>3</v>
      </c>
      <c r="C83" t="s">
        <v>1501</v>
      </c>
      <c r="D83" t="s">
        <v>1528</v>
      </c>
      <c r="E83" s="556">
        <f ca="1">VLOOKUP(A83,Data!C:I,7,FALSE)</f>
        <v>0</v>
      </c>
      <c r="F83" s="636" t="str">
        <f t="shared" si="14"/>
        <v>PR.PT-13</v>
      </c>
      <c r="G83" s="636" t="str">
        <f t="shared" ca="1" si="15"/>
        <v>PR.PT-130</v>
      </c>
      <c r="I83" s="24"/>
      <c r="J83" s="24" t="s">
        <v>1536</v>
      </c>
      <c r="K83" s="637">
        <f t="shared" ca="1" si="16"/>
        <v>0</v>
      </c>
      <c r="L83" s="638">
        <f t="shared" si="17"/>
        <v>4</v>
      </c>
      <c r="M83" s="638">
        <f t="shared" ca="1" si="18"/>
        <v>0</v>
      </c>
      <c r="N83" s="637">
        <f t="shared" ca="1" si="19"/>
        <v>0</v>
      </c>
      <c r="O83" s="638">
        <f t="shared" si="20"/>
        <v>1</v>
      </c>
      <c r="P83" s="638">
        <f t="shared" ca="1" si="21"/>
        <v>0</v>
      </c>
      <c r="Q83" s="637">
        <f t="shared" ca="1" si="22"/>
        <v>0</v>
      </c>
      <c r="R83" s="638">
        <f t="shared" si="23"/>
        <v>2</v>
      </c>
      <c r="S83" s="638">
        <f t="shared" ca="1" si="24"/>
        <v>0</v>
      </c>
      <c r="T83" s="637">
        <f t="shared" ca="1" si="25"/>
        <v>0</v>
      </c>
      <c r="U83" s="638">
        <f t="shared" si="26"/>
        <v>1</v>
      </c>
      <c r="V83" s="638">
        <f t="shared" ca="1" si="27"/>
        <v>0</v>
      </c>
    </row>
    <row r="84" spans="1:22" x14ac:dyDescent="0.25">
      <c r="A84" t="s">
        <v>971</v>
      </c>
      <c r="B84" s="556">
        <v>3</v>
      </c>
      <c r="C84" t="s">
        <v>446</v>
      </c>
      <c r="D84" t="s">
        <v>1529</v>
      </c>
      <c r="E84" s="556">
        <f ca="1">VLOOKUP(A84,Data!C:I,7,FALSE)</f>
        <v>0</v>
      </c>
      <c r="F84" s="636" t="str">
        <f t="shared" si="14"/>
        <v>ID.AM-63</v>
      </c>
      <c r="G84" s="636" t="str">
        <f t="shared" ca="1" si="15"/>
        <v>ID.AM-630</v>
      </c>
      <c r="I84" s="24" t="s">
        <v>1801</v>
      </c>
      <c r="J84" s="24" t="s">
        <v>1605</v>
      </c>
      <c r="K84" s="637">
        <f t="shared" ca="1" si="16"/>
        <v>0</v>
      </c>
      <c r="L84" s="638">
        <f t="shared" si="17"/>
        <v>2</v>
      </c>
      <c r="M84" s="638">
        <f t="shared" ca="1" si="18"/>
        <v>0</v>
      </c>
      <c r="N84" s="637">
        <f t="shared" ca="1" si="19"/>
        <v>0</v>
      </c>
      <c r="O84" s="638">
        <f t="shared" si="20"/>
        <v>1</v>
      </c>
      <c r="P84" s="638">
        <f t="shared" ca="1" si="21"/>
        <v>0</v>
      </c>
      <c r="Q84" s="637">
        <f t="shared" ca="1" si="22"/>
        <v>0</v>
      </c>
      <c r="R84" s="638">
        <f t="shared" si="23"/>
        <v>1</v>
      </c>
      <c r="S84" s="638">
        <f t="shared" ca="1" si="24"/>
        <v>0</v>
      </c>
      <c r="T84" s="637">
        <f t="shared" si="25"/>
        <v>0</v>
      </c>
      <c r="U84" s="638">
        <f t="shared" si="26"/>
        <v>0</v>
      </c>
      <c r="V84" s="638">
        <f t="shared" ca="1" si="27"/>
        <v>0</v>
      </c>
    </row>
    <row r="85" spans="1:22" x14ac:dyDescent="0.25">
      <c r="A85" t="s">
        <v>971</v>
      </c>
      <c r="B85" s="556">
        <v>3</v>
      </c>
      <c r="C85" t="s">
        <v>446</v>
      </c>
      <c r="D85" t="s">
        <v>1530</v>
      </c>
      <c r="E85" s="556">
        <f ca="1">VLOOKUP(A85,Data!C:I,7,FALSE)</f>
        <v>0</v>
      </c>
      <c r="F85" s="636" t="str">
        <f t="shared" si="14"/>
        <v>ID.GV-23</v>
      </c>
      <c r="G85" s="636" t="str">
        <f t="shared" ca="1" si="15"/>
        <v>ID.GV-230</v>
      </c>
      <c r="I85" s="24"/>
      <c r="J85" s="24" t="s">
        <v>1582</v>
      </c>
      <c r="K85" s="637">
        <f t="shared" ca="1" si="16"/>
        <v>0</v>
      </c>
      <c r="L85" s="638">
        <f t="shared" si="17"/>
        <v>7</v>
      </c>
      <c r="M85" s="638">
        <f t="shared" ca="1" si="18"/>
        <v>0</v>
      </c>
      <c r="N85" s="637">
        <f t="shared" ca="1" si="19"/>
        <v>0</v>
      </c>
      <c r="O85" s="638">
        <f t="shared" si="20"/>
        <v>1</v>
      </c>
      <c r="P85" s="638">
        <f t="shared" ca="1" si="21"/>
        <v>0</v>
      </c>
      <c r="Q85" s="637">
        <f t="shared" ca="1" si="22"/>
        <v>0</v>
      </c>
      <c r="R85" s="638">
        <f t="shared" si="23"/>
        <v>4</v>
      </c>
      <c r="S85" s="638">
        <f t="shared" ca="1" si="24"/>
        <v>0</v>
      </c>
      <c r="T85" s="637">
        <f t="shared" ca="1" si="25"/>
        <v>0</v>
      </c>
      <c r="U85" s="638">
        <f t="shared" si="26"/>
        <v>2</v>
      </c>
      <c r="V85" s="638">
        <f t="shared" ca="1" si="27"/>
        <v>0</v>
      </c>
    </row>
    <row r="86" spans="1:22" x14ac:dyDescent="0.25">
      <c r="A86" t="s">
        <v>972</v>
      </c>
      <c r="B86" s="556">
        <v>3</v>
      </c>
      <c r="C86" t="s">
        <v>1501</v>
      </c>
      <c r="D86" t="s">
        <v>1531</v>
      </c>
      <c r="E86" s="556">
        <f ca="1">VLOOKUP(A86,Data!C:I,7,FALSE)</f>
        <v>0</v>
      </c>
      <c r="F86" s="636" t="str">
        <f t="shared" si="14"/>
        <v>PR.IP-83</v>
      </c>
      <c r="G86" s="636" t="str">
        <f t="shared" ca="1" si="15"/>
        <v>PR.IP-830</v>
      </c>
      <c r="I86" s="24"/>
      <c r="J86" s="24" t="s">
        <v>1577</v>
      </c>
      <c r="K86" s="637">
        <f t="shared" ca="1" si="16"/>
        <v>0</v>
      </c>
      <c r="L86" s="638">
        <f t="shared" si="17"/>
        <v>8</v>
      </c>
      <c r="M86" s="638">
        <f t="shared" ca="1" si="18"/>
        <v>0</v>
      </c>
      <c r="N86" s="637">
        <f t="shared" ca="1" si="19"/>
        <v>0</v>
      </c>
      <c r="O86" s="638">
        <f t="shared" si="20"/>
        <v>1</v>
      </c>
      <c r="P86" s="638">
        <f t="shared" ca="1" si="21"/>
        <v>0</v>
      </c>
      <c r="Q86" s="637">
        <f t="shared" ca="1" si="22"/>
        <v>0</v>
      </c>
      <c r="R86" s="638">
        <f t="shared" si="23"/>
        <v>3</v>
      </c>
      <c r="S86" s="638">
        <f t="shared" ca="1" si="24"/>
        <v>0</v>
      </c>
      <c r="T86" s="637">
        <f t="shared" ca="1" si="25"/>
        <v>0</v>
      </c>
      <c r="U86" s="638">
        <f t="shared" si="26"/>
        <v>4</v>
      </c>
      <c r="V86" s="638">
        <f t="shared" ca="1" si="27"/>
        <v>0</v>
      </c>
    </row>
    <row r="87" spans="1:22" x14ac:dyDescent="0.25">
      <c r="A87" t="s">
        <v>303</v>
      </c>
      <c r="B87" s="556">
        <v>1</v>
      </c>
      <c r="C87" t="s">
        <v>1501</v>
      </c>
      <c r="D87" t="s">
        <v>1532</v>
      </c>
      <c r="E87" s="556">
        <f ca="1">VLOOKUP(A87,Data!C:I,7,FALSE)</f>
        <v>0</v>
      </c>
      <c r="F87" s="636" t="str">
        <f t="shared" si="14"/>
        <v>PR.AC-51</v>
      </c>
      <c r="G87" s="636" t="str">
        <f t="shared" ca="1" si="15"/>
        <v>PR.AC-510</v>
      </c>
      <c r="I87" s="24"/>
      <c r="J87" s="24" t="s">
        <v>1586</v>
      </c>
      <c r="K87" s="637">
        <f t="shared" ca="1" si="16"/>
        <v>0</v>
      </c>
      <c r="L87" s="638">
        <f t="shared" si="17"/>
        <v>3</v>
      </c>
      <c r="M87" s="638">
        <f t="shared" ca="1" si="18"/>
        <v>0</v>
      </c>
      <c r="N87" s="637">
        <f t="shared" ca="1" si="19"/>
        <v>0</v>
      </c>
      <c r="O87" s="638">
        <f t="shared" si="20"/>
        <v>1</v>
      </c>
      <c r="P87" s="638">
        <f t="shared" ca="1" si="21"/>
        <v>0</v>
      </c>
      <c r="Q87" s="637">
        <f t="shared" ca="1" si="22"/>
        <v>0</v>
      </c>
      <c r="R87" s="638">
        <f t="shared" si="23"/>
        <v>1</v>
      </c>
      <c r="S87" s="638">
        <f t="shared" ca="1" si="24"/>
        <v>0</v>
      </c>
      <c r="T87" s="637">
        <f t="shared" ca="1" si="25"/>
        <v>0</v>
      </c>
      <c r="U87" s="638">
        <f t="shared" si="26"/>
        <v>1</v>
      </c>
      <c r="V87" s="638">
        <f t="shared" ca="1" si="27"/>
        <v>0</v>
      </c>
    </row>
    <row r="88" spans="1:22" x14ac:dyDescent="0.25">
      <c r="A88" t="s">
        <v>304</v>
      </c>
      <c r="B88" s="556">
        <v>2</v>
      </c>
      <c r="C88" t="s">
        <v>1501</v>
      </c>
      <c r="D88" t="s">
        <v>1532</v>
      </c>
      <c r="E88" s="556">
        <f ca="1">VLOOKUP(A88,Data!C:I,7,FALSE)</f>
        <v>0</v>
      </c>
      <c r="F88" s="636" t="str">
        <f t="shared" si="14"/>
        <v>PR.AC-52</v>
      </c>
      <c r="G88" s="636" t="str">
        <f t="shared" ca="1" si="15"/>
        <v>PR.AC-520</v>
      </c>
      <c r="I88" s="24"/>
      <c r="J88" s="24" t="s">
        <v>1584</v>
      </c>
      <c r="K88" s="637">
        <f t="shared" ca="1" si="16"/>
        <v>0</v>
      </c>
      <c r="L88" s="638">
        <f t="shared" si="17"/>
        <v>8</v>
      </c>
      <c r="M88" s="638">
        <f t="shared" ca="1" si="18"/>
        <v>0</v>
      </c>
      <c r="N88" s="637">
        <f t="shared" ca="1" si="19"/>
        <v>0</v>
      </c>
      <c r="O88" s="638">
        <f t="shared" si="20"/>
        <v>1</v>
      </c>
      <c r="P88" s="638">
        <f t="shared" ca="1" si="21"/>
        <v>0</v>
      </c>
      <c r="Q88" s="637">
        <f t="shared" ca="1" si="22"/>
        <v>0</v>
      </c>
      <c r="R88" s="638">
        <f t="shared" si="23"/>
        <v>3</v>
      </c>
      <c r="S88" s="638">
        <f t="shared" ca="1" si="24"/>
        <v>0</v>
      </c>
      <c r="T88" s="637">
        <f t="shared" ca="1" si="25"/>
        <v>0</v>
      </c>
      <c r="U88" s="638">
        <f t="shared" si="26"/>
        <v>4</v>
      </c>
      <c r="V88" s="638">
        <f t="shared" ca="1" si="27"/>
        <v>0</v>
      </c>
    </row>
    <row r="89" spans="1:22" x14ac:dyDescent="0.25">
      <c r="A89" t="s">
        <v>305</v>
      </c>
      <c r="B89" s="556">
        <v>2</v>
      </c>
      <c r="C89" t="s">
        <v>1501</v>
      </c>
      <c r="D89" t="s">
        <v>1532</v>
      </c>
      <c r="E89" s="556">
        <f ca="1">VLOOKUP(A89,Data!C:I,7,FALSE)</f>
        <v>0</v>
      </c>
      <c r="F89" s="636" t="str">
        <f t="shared" si="14"/>
        <v>PR.AC-52</v>
      </c>
      <c r="G89" s="636" t="str">
        <f t="shared" ca="1" si="15"/>
        <v>PR.AC-520</v>
      </c>
      <c r="I89" s="24" t="s">
        <v>1809</v>
      </c>
      <c r="J89" s="24" t="s">
        <v>1537</v>
      </c>
      <c r="K89" s="637">
        <f t="shared" ca="1" si="16"/>
        <v>0</v>
      </c>
      <c r="L89" s="638">
        <f t="shared" si="17"/>
        <v>9</v>
      </c>
      <c r="M89" s="638">
        <f t="shared" ca="1" si="18"/>
        <v>0</v>
      </c>
      <c r="N89" s="637">
        <f t="shared" ca="1" si="19"/>
        <v>0</v>
      </c>
      <c r="O89" s="638">
        <f t="shared" si="20"/>
        <v>2</v>
      </c>
      <c r="P89" s="638">
        <f t="shared" ca="1" si="21"/>
        <v>0</v>
      </c>
      <c r="Q89" s="637">
        <f t="shared" ca="1" si="22"/>
        <v>0</v>
      </c>
      <c r="R89" s="638">
        <f t="shared" si="23"/>
        <v>4</v>
      </c>
      <c r="S89" s="638">
        <f t="shared" ca="1" si="24"/>
        <v>0</v>
      </c>
      <c r="T89" s="637">
        <f t="shared" ca="1" si="25"/>
        <v>0</v>
      </c>
      <c r="U89" s="638">
        <f t="shared" si="26"/>
        <v>3</v>
      </c>
      <c r="V89" s="638">
        <f t="shared" ca="1" si="27"/>
        <v>0</v>
      </c>
    </row>
    <row r="90" spans="1:22" x14ac:dyDescent="0.25">
      <c r="A90" t="s">
        <v>306</v>
      </c>
      <c r="B90" s="556">
        <v>2</v>
      </c>
      <c r="C90" t="s">
        <v>1501</v>
      </c>
      <c r="D90" t="s">
        <v>1533</v>
      </c>
      <c r="E90" s="556">
        <f ca="1">VLOOKUP(A90,Data!C:I,7,FALSE)</f>
        <v>0</v>
      </c>
      <c r="F90" s="636" t="str">
        <f t="shared" si="14"/>
        <v>PR.PT-42</v>
      </c>
      <c r="G90" s="636" t="str">
        <f t="shared" ca="1" si="15"/>
        <v>PR.PT-420</v>
      </c>
      <c r="I90" s="24"/>
      <c r="J90" s="24" t="s">
        <v>1527</v>
      </c>
      <c r="K90" s="637">
        <f t="shared" ca="1" si="16"/>
        <v>0</v>
      </c>
      <c r="L90" s="638">
        <f t="shared" si="17"/>
        <v>10</v>
      </c>
      <c r="M90" s="638">
        <f t="shared" ca="1" si="18"/>
        <v>0</v>
      </c>
      <c r="N90" s="637">
        <f t="shared" ca="1" si="19"/>
        <v>0</v>
      </c>
      <c r="O90" s="638">
        <f t="shared" si="20"/>
        <v>3</v>
      </c>
      <c r="P90" s="638">
        <f t="shared" ca="1" si="21"/>
        <v>0</v>
      </c>
      <c r="Q90" s="637">
        <f t="shared" ca="1" si="22"/>
        <v>0</v>
      </c>
      <c r="R90" s="638">
        <f t="shared" si="23"/>
        <v>3</v>
      </c>
      <c r="S90" s="638">
        <f t="shared" ca="1" si="24"/>
        <v>0</v>
      </c>
      <c r="T90" s="637">
        <f t="shared" ca="1" si="25"/>
        <v>0</v>
      </c>
      <c r="U90" s="638">
        <f t="shared" si="26"/>
        <v>4</v>
      </c>
      <c r="V90" s="638">
        <f t="shared" ca="1" si="27"/>
        <v>0</v>
      </c>
    </row>
    <row r="91" spans="1:22" x14ac:dyDescent="0.25">
      <c r="A91" t="s">
        <v>307</v>
      </c>
      <c r="B91" s="556">
        <v>2</v>
      </c>
      <c r="C91" t="s">
        <v>1501</v>
      </c>
      <c r="D91" t="s">
        <v>1532</v>
      </c>
      <c r="E91" s="556">
        <f ca="1">VLOOKUP(A91,Data!C:I,7,FALSE)</f>
        <v>0</v>
      </c>
      <c r="F91" s="636" t="str">
        <f t="shared" si="14"/>
        <v>PR.AC-52</v>
      </c>
      <c r="G91" s="636" t="str">
        <f t="shared" ca="1" si="15"/>
        <v>PR.AC-520</v>
      </c>
      <c r="I91" s="24"/>
      <c r="J91" s="24" t="s">
        <v>1523</v>
      </c>
      <c r="K91" s="637">
        <f t="shared" ca="1" si="16"/>
        <v>0</v>
      </c>
      <c r="L91" s="638">
        <f t="shared" si="17"/>
        <v>13</v>
      </c>
      <c r="M91" s="638">
        <f t="shared" ca="1" si="18"/>
        <v>0</v>
      </c>
      <c r="N91" s="637">
        <f t="shared" ca="1" si="19"/>
        <v>0</v>
      </c>
      <c r="O91" s="638">
        <f t="shared" si="20"/>
        <v>3</v>
      </c>
      <c r="P91" s="638">
        <f t="shared" ca="1" si="21"/>
        <v>0</v>
      </c>
      <c r="Q91" s="637">
        <f t="shared" ca="1" si="22"/>
        <v>0</v>
      </c>
      <c r="R91" s="638">
        <f t="shared" si="23"/>
        <v>5</v>
      </c>
      <c r="S91" s="638">
        <f t="shared" ca="1" si="24"/>
        <v>0</v>
      </c>
      <c r="T91" s="637">
        <f t="shared" ca="1" si="25"/>
        <v>0</v>
      </c>
      <c r="U91" s="638">
        <f t="shared" si="26"/>
        <v>5</v>
      </c>
      <c r="V91" s="638">
        <f t="shared" ca="1" si="27"/>
        <v>0</v>
      </c>
    </row>
    <row r="92" spans="1:22" x14ac:dyDescent="0.25">
      <c r="A92" t="s">
        <v>307</v>
      </c>
      <c r="B92" s="556">
        <v>2</v>
      </c>
      <c r="C92" t="s">
        <v>1501</v>
      </c>
      <c r="D92" t="s">
        <v>1534</v>
      </c>
      <c r="E92" s="556">
        <f ca="1">VLOOKUP(A92,Data!C:I,7,FALSE)</f>
        <v>0</v>
      </c>
      <c r="F92" s="636" t="str">
        <f t="shared" si="14"/>
        <v>PR.DS-42</v>
      </c>
      <c r="G92" s="636" t="str">
        <f t="shared" ca="1" si="15"/>
        <v>PR.DS-420</v>
      </c>
      <c r="I92" s="24"/>
      <c r="J92" s="24" t="s">
        <v>1541</v>
      </c>
      <c r="K92" s="637">
        <f t="shared" ca="1" si="16"/>
        <v>0</v>
      </c>
      <c r="L92" s="638">
        <f t="shared" si="17"/>
        <v>9</v>
      </c>
      <c r="M92" s="638">
        <f t="shared" ca="1" si="18"/>
        <v>0</v>
      </c>
      <c r="N92" s="637">
        <f t="shared" ca="1" si="19"/>
        <v>0</v>
      </c>
      <c r="O92" s="638">
        <f t="shared" si="20"/>
        <v>2</v>
      </c>
      <c r="P92" s="638">
        <f t="shared" ca="1" si="21"/>
        <v>0</v>
      </c>
      <c r="Q92" s="637">
        <f t="shared" ca="1" si="22"/>
        <v>0</v>
      </c>
      <c r="R92" s="638">
        <f t="shared" si="23"/>
        <v>2</v>
      </c>
      <c r="S92" s="638">
        <f t="shared" ca="1" si="24"/>
        <v>0</v>
      </c>
      <c r="T92" s="637">
        <f t="shared" ca="1" si="25"/>
        <v>0</v>
      </c>
      <c r="U92" s="638">
        <f t="shared" si="26"/>
        <v>5</v>
      </c>
      <c r="V92" s="638">
        <f t="shared" ca="1" si="27"/>
        <v>0</v>
      </c>
    </row>
    <row r="93" spans="1:22" x14ac:dyDescent="0.25">
      <c r="A93" t="s">
        <v>308</v>
      </c>
      <c r="B93" s="556">
        <v>2</v>
      </c>
      <c r="C93" t="s">
        <v>1501</v>
      </c>
      <c r="D93" t="s">
        <v>1532</v>
      </c>
      <c r="E93" s="556">
        <f ca="1">VLOOKUP(A93,Data!C:I,7,FALSE)</f>
        <v>0</v>
      </c>
      <c r="F93" s="636" t="str">
        <f t="shared" si="14"/>
        <v>PR.AC-52</v>
      </c>
      <c r="G93" s="636" t="str">
        <f t="shared" ca="1" si="15"/>
        <v>PR.AC-520</v>
      </c>
      <c r="I93" s="24"/>
      <c r="J93" s="24" t="s">
        <v>1545</v>
      </c>
      <c r="K93" s="637">
        <f t="shared" ca="1" si="16"/>
        <v>0</v>
      </c>
      <c r="L93" s="638">
        <f t="shared" si="17"/>
        <v>8</v>
      </c>
      <c r="M93" s="638">
        <f t="shared" ca="1" si="18"/>
        <v>0</v>
      </c>
      <c r="N93" s="637">
        <f t="shared" ca="1" si="19"/>
        <v>0</v>
      </c>
      <c r="O93" s="638">
        <f t="shared" si="20"/>
        <v>2</v>
      </c>
      <c r="P93" s="638">
        <f t="shared" ca="1" si="21"/>
        <v>0</v>
      </c>
      <c r="Q93" s="637">
        <f t="shared" ca="1" si="22"/>
        <v>0</v>
      </c>
      <c r="R93" s="638">
        <f t="shared" si="23"/>
        <v>1</v>
      </c>
      <c r="S93" s="638">
        <f t="shared" ca="1" si="24"/>
        <v>0</v>
      </c>
      <c r="T93" s="637">
        <f t="shared" ca="1" si="25"/>
        <v>0</v>
      </c>
      <c r="U93" s="638">
        <f t="shared" si="26"/>
        <v>5</v>
      </c>
      <c r="V93" s="638">
        <f t="shared" ca="1" si="27"/>
        <v>0</v>
      </c>
    </row>
    <row r="94" spans="1:22" x14ac:dyDescent="0.25">
      <c r="A94" t="s">
        <v>308</v>
      </c>
      <c r="B94" s="556">
        <v>2</v>
      </c>
      <c r="C94" t="s">
        <v>1501</v>
      </c>
      <c r="D94" t="s">
        <v>1534</v>
      </c>
      <c r="E94" s="556">
        <f ca="1">VLOOKUP(A94,Data!C:I,7,FALSE)</f>
        <v>0</v>
      </c>
      <c r="F94" s="636" t="str">
        <f t="shared" si="14"/>
        <v>PR.DS-42</v>
      </c>
      <c r="G94" s="636" t="str">
        <f t="shared" ca="1" si="15"/>
        <v>PR.DS-420</v>
      </c>
      <c r="I94" s="24"/>
      <c r="J94" s="24" t="s">
        <v>1524</v>
      </c>
      <c r="K94" s="637">
        <f t="shared" ca="1" si="16"/>
        <v>0</v>
      </c>
      <c r="L94" s="638">
        <f t="shared" si="17"/>
        <v>12</v>
      </c>
      <c r="M94" s="638">
        <f t="shared" ca="1" si="18"/>
        <v>0</v>
      </c>
      <c r="N94" s="637">
        <f t="shared" ca="1" si="19"/>
        <v>0</v>
      </c>
      <c r="O94" s="638">
        <f t="shared" si="20"/>
        <v>3</v>
      </c>
      <c r="P94" s="638">
        <f t="shared" ca="1" si="21"/>
        <v>0</v>
      </c>
      <c r="Q94" s="637">
        <f t="shared" ca="1" si="22"/>
        <v>0</v>
      </c>
      <c r="R94" s="638">
        <f t="shared" si="23"/>
        <v>4</v>
      </c>
      <c r="S94" s="638">
        <f t="shared" ca="1" si="24"/>
        <v>0</v>
      </c>
      <c r="T94" s="637">
        <f t="shared" ca="1" si="25"/>
        <v>0</v>
      </c>
      <c r="U94" s="638">
        <f t="shared" si="26"/>
        <v>5</v>
      </c>
      <c r="V94" s="638">
        <f t="shared" ca="1" si="27"/>
        <v>0</v>
      </c>
    </row>
    <row r="95" spans="1:22" x14ac:dyDescent="0.25">
      <c r="A95" t="s">
        <v>308</v>
      </c>
      <c r="B95" s="556">
        <v>2</v>
      </c>
      <c r="C95" t="s">
        <v>1501</v>
      </c>
      <c r="D95" t="s">
        <v>1535</v>
      </c>
      <c r="E95" s="556">
        <f ca="1">VLOOKUP(A95,Data!C:I,7,FALSE)</f>
        <v>0</v>
      </c>
      <c r="F95" s="636" t="str">
        <f t="shared" si="14"/>
        <v>PR.DS-52</v>
      </c>
      <c r="G95" s="636" t="str">
        <f t="shared" ca="1" si="15"/>
        <v>PR.DS-520</v>
      </c>
      <c r="I95" s="24"/>
      <c r="J95" s="24" t="s">
        <v>1525</v>
      </c>
      <c r="K95" s="637">
        <f t="shared" ca="1" si="16"/>
        <v>0</v>
      </c>
      <c r="L95" s="638">
        <f t="shared" si="17"/>
        <v>13</v>
      </c>
      <c r="M95" s="638">
        <f t="shared" ca="1" si="18"/>
        <v>0</v>
      </c>
      <c r="N95" s="637">
        <f t="shared" ca="1" si="19"/>
        <v>0</v>
      </c>
      <c r="O95" s="638">
        <f t="shared" si="20"/>
        <v>3</v>
      </c>
      <c r="P95" s="638">
        <f t="shared" ca="1" si="21"/>
        <v>0</v>
      </c>
      <c r="Q95" s="637">
        <f t="shared" ca="1" si="22"/>
        <v>0</v>
      </c>
      <c r="R95" s="638">
        <f t="shared" si="23"/>
        <v>5</v>
      </c>
      <c r="S95" s="638">
        <f t="shared" ca="1" si="24"/>
        <v>0</v>
      </c>
      <c r="T95" s="637">
        <f t="shared" ca="1" si="25"/>
        <v>0</v>
      </c>
      <c r="U95" s="638">
        <f t="shared" si="26"/>
        <v>5</v>
      </c>
      <c r="V95" s="638">
        <f t="shared" ca="1" si="27"/>
        <v>0</v>
      </c>
    </row>
    <row r="96" spans="1:22" x14ac:dyDescent="0.25">
      <c r="A96" t="s">
        <v>308</v>
      </c>
      <c r="B96" s="556">
        <v>2</v>
      </c>
      <c r="C96" t="s">
        <v>1501</v>
      </c>
      <c r="D96" t="s">
        <v>1533</v>
      </c>
      <c r="E96" s="556">
        <f ca="1">VLOOKUP(A96,Data!C:I,7,FALSE)</f>
        <v>0</v>
      </c>
      <c r="F96" s="636" t="str">
        <f t="shared" si="14"/>
        <v>PR.PT-42</v>
      </c>
      <c r="G96" s="636" t="str">
        <f t="shared" ca="1" si="15"/>
        <v>PR.PT-420</v>
      </c>
      <c r="I96" s="24"/>
      <c r="J96" s="24" t="s">
        <v>1603</v>
      </c>
      <c r="K96" s="637">
        <f t="shared" ca="1" si="16"/>
        <v>0</v>
      </c>
      <c r="L96" s="638">
        <f t="shared" si="17"/>
        <v>4</v>
      </c>
      <c r="M96" s="638">
        <f t="shared" ca="1" si="18"/>
        <v>0</v>
      </c>
      <c r="N96" s="637">
        <f t="shared" ca="1" si="19"/>
        <v>0</v>
      </c>
      <c r="O96" s="638">
        <f t="shared" si="20"/>
        <v>1</v>
      </c>
      <c r="P96" s="638">
        <f t="shared" ca="1" si="21"/>
        <v>0</v>
      </c>
      <c r="Q96" s="637">
        <f t="shared" ca="1" si="22"/>
        <v>0</v>
      </c>
      <c r="R96" s="638">
        <f t="shared" si="23"/>
        <v>2</v>
      </c>
      <c r="S96" s="638">
        <f t="shared" ca="1" si="24"/>
        <v>0</v>
      </c>
      <c r="T96" s="637">
        <f t="shared" ca="1" si="25"/>
        <v>0</v>
      </c>
      <c r="U96" s="638">
        <f t="shared" si="26"/>
        <v>1</v>
      </c>
      <c r="V96" s="638">
        <f t="shared" ca="1" si="27"/>
        <v>0</v>
      </c>
    </row>
    <row r="97" spans="1:22" x14ac:dyDescent="0.25">
      <c r="A97" t="s">
        <v>308</v>
      </c>
      <c r="B97" s="556">
        <v>2</v>
      </c>
      <c r="C97" t="s">
        <v>1501</v>
      </c>
      <c r="D97" t="s">
        <v>1536</v>
      </c>
      <c r="E97" s="556">
        <f ca="1">VLOOKUP(A97,Data!C:I,7,FALSE)</f>
        <v>0</v>
      </c>
      <c r="F97" s="636" t="str">
        <f t="shared" si="14"/>
        <v>PR.PT-52</v>
      </c>
      <c r="G97" s="636" t="str">
        <f t="shared" ca="1" si="15"/>
        <v>PR.PT-520</v>
      </c>
      <c r="I97" s="24" t="s">
        <v>1820</v>
      </c>
      <c r="J97" s="24" t="s">
        <v>1578</v>
      </c>
      <c r="K97" s="637">
        <f t="shared" ca="1" si="16"/>
        <v>0</v>
      </c>
      <c r="L97" s="638">
        <f t="shared" si="17"/>
        <v>8</v>
      </c>
      <c r="M97" s="638">
        <f t="shared" ca="1" si="18"/>
        <v>0</v>
      </c>
      <c r="N97" s="637">
        <f t="shared" ca="1" si="19"/>
        <v>0</v>
      </c>
      <c r="O97" s="638">
        <f t="shared" si="20"/>
        <v>3</v>
      </c>
      <c r="P97" s="638">
        <f t="shared" ca="1" si="21"/>
        <v>0</v>
      </c>
      <c r="Q97" s="637">
        <f t="shared" ca="1" si="22"/>
        <v>0</v>
      </c>
      <c r="R97" s="638">
        <f t="shared" si="23"/>
        <v>3</v>
      </c>
      <c r="S97" s="638">
        <f t="shared" ca="1" si="24"/>
        <v>0</v>
      </c>
      <c r="T97" s="637">
        <f t="shared" ca="1" si="25"/>
        <v>0</v>
      </c>
      <c r="U97" s="638">
        <f t="shared" si="26"/>
        <v>2</v>
      </c>
      <c r="V97" s="638">
        <f t="shared" ca="1" si="27"/>
        <v>0</v>
      </c>
    </row>
    <row r="98" spans="1:22" x14ac:dyDescent="0.25">
      <c r="A98" t="s">
        <v>310</v>
      </c>
      <c r="B98" s="556">
        <v>3</v>
      </c>
      <c r="C98" t="s">
        <v>1501</v>
      </c>
      <c r="D98" t="s">
        <v>1534</v>
      </c>
      <c r="E98" s="556">
        <f ca="1">VLOOKUP(A98,Data!C:I,7,FALSE)</f>
        <v>0</v>
      </c>
      <c r="F98" s="636" t="str">
        <f t="shared" si="14"/>
        <v>PR.DS-43</v>
      </c>
      <c r="G98" s="636" t="str">
        <f t="shared" ca="1" si="15"/>
        <v>PR.DS-430</v>
      </c>
      <c r="I98" s="24"/>
      <c r="J98" s="24" t="s">
        <v>1580</v>
      </c>
      <c r="K98" s="637">
        <f t="shared" ca="1" si="16"/>
        <v>0</v>
      </c>
      <c r="L98" s="638">
        <f t="shared" si="17"/>
        <v>4</v>
      </c>
      <c r="M98" s="638">
        <f t="shared" ca="1" si="18"/>
        <v>0</v>
      </c>
      <c r="N98" s="637">
        <f t="shared" si="19"/>
        <v>0</v>
      </c>
      <c r="O98" s="638">
        <f t="shared" si="20"/>
        <v>0</v>
      </c>
      <c r="P98" s="638">
        <f t="shared" ca="1" si="21"/>
        <v>0</v>
      </c>
      <c r="Q98" s="637">
        <f t="shared" ca="1" si="22"/>
        <v>0</v>
      </c>
      <c r="R98" s="638">
        <f t="shared" si="23"/>
        <v>3</v>
      </c>
      <c r="S98" s="638">
        <f t="shared" ca="1" si="24"/>
        <v>0</v>
      </c>
      <c r="T98" s="637">
        <f t="shared" ca="1" si="25"/>
        <v>0</v>
      </c>
      <c r="U98" s="638">
        <f t="shared" si="26"/>
        <v>1</v>
      </c>
      <c r="V98" s="638">
        <f t="shared" ca="1" si="27"/>
        <v>0</v>
      </c>
    </row>
    <row r="99" spans="1:22" x14ac:dyDescent="0.25">
      <c r="A99" t="s">
        <v>312</v>
      </c>
      <c r="B99" s="556">
        <v>1</v>
      </c>
      <c r="C99" t="s">
        <v>1501</v>
      </c>
      <c r="D99" t="s">
        <v>1532</v>
      </c>
      <c r="E99" s="556">
        <f ca="1">VLOOKUP(A99,Data!C:I,7,FALSE)</f>
        <v>0</v>
      </c>
      <c r="F99" s="636" t="str">
        <f t="shared" si="14"/>
        <v>PR.AC-51</v>
      </c>
      <c r="G99" s="636" t="str">
        <f t="shared" ca="1" si="15"/>
        <v>PR.AC-510</v>
      </c>
      <c r="I99" s="24"/>
      <c r="J99" s="24" t="s">
        <v>1588</v>
      </c>
      <c r="K99" s="637">
        <f t="shared" ca="1" si="16"/>
        <v>0</v>
      </c>
      <c r="L99" s="638">
        <f t="shared" si="17"/>
        <v>3</v>
      </c>
      <c r="M99" s="638">
        <f t="shared" ca="1" si="18"/>
        <v>0</v>
      </c>
      <c r="N99" s="637">
        <f t="shared" si="19"/>
        <v>0</v>
      </c>
      <c r="O99" s="638">
        <f t="shared" si="20"/>
        <v>0</v>
      </c>
      <c r="P99" s="638">
        <f t="shared" ca="1" si="21"/>
        <v>0</v>
      </c>
      <c r="Q99" s="637">
        <f t="shared" ca="1" si="22"/>
        <v>0</v>
      </c>
      <c r="R99" s="638">
        <f t="shared" si="23"/>
        <v>2</v>
      </c>
      <c r="S99" s="638">
        <f t="shared" ca="1" si="24"/>
        <v>0</v>
      </c>
      <c r="T99" s="637">
        <f t="shared" ca="1" si="25"/>
        <v>0</v>
      </c>
      <c r="U99" s="638">
        <f t="shared" si="26"/>
        <v>1</v>
      </c>
      <c r="V99" s="638">
        <f t="shared" ca="1" si="27"/>
        <v>0</v>
      </c>
    </row>
    <row r="100" spans="1:22" x14ac:dyDescent="0.25">
      <c r="A100" t="s">
        <v>312</v>
      </c>
      <c r="B100" s="556">
        <v>1</v>
      </c>
      <c r="C100" t="s">
        <v>1501</v>
      </c>
      <c r="D100" t="s">
        <v>1533</v>
      </c>
      <c r="E100" s="556">
        <f ca="1">VLOOKUP(A100,Data!C:I,7,FALSE)</f>
        <v>0</v>
      </c>
      <c r="F100" s="636" t="str">
        <f t="shared" si="14"/>
        <v>PR.PT-41</v>
      </c>
      <c r="G100" s="636" t="str">
        <f t="shared" ca="1" si="15"/>
        <v>PR.PT-410</v>
      </c>
      <c r="I100" s="24"/>
      <c r="J100" s="24" t="s">
        <v>1579</v>
      </c>
      <c r="K100" s="637">
        <f t="shared" ca="1" si="16"/>
        <v>0</v>
      </c>
      <c r="L100" s="638">
        <f t="shared" si="17"/>
        <v>7</v>
      </c>
      <c r="M100" s="638">
        <f t="shared" ca="1" si="18"/>
        <v>0</v>
      </c>
      <c r="N100" s="637">
        <f t="shared" ca="1" si="19"/>
        <v>0</v>
      </c>
      <c r="O100" s="638">
        <f t="shared" si="20"/>
        <v>2</v>
      </c>
      <c r="P100" s="638">
        <f t="shared" ca="1" si="21"/>
        <v>0</v>
      </c>
      <c r="Q100" s="637">
        <f t="shared" ca="1" si="22"/>
        <v>0</v>
      </c>
      <c r="R100" s="638">
        <f t="shared" si="23"/>
        <v>2</v>
      </c>
      <c r="S100" s="638">
        <f t="shared" ca="1" si="24"/>
        <v>0</v>
      </c>
      <c r="T100" s="637">
        <f t="shared" ca="1" si="25"/>
        <v>0</v>
      </c>
      <c r="U100" s="638">
        <f t="shared" si="26"/>
        <v>3</v>
      </c>
      <c r="V100" s="638">
        <f t="shared" ca="1" si="27"/>
        <v>0</v>
      </c>
    </row>
    <row r="101" spans="1:22" x14ac:dyDescent="0.25">
      <c r="A101" t="s">
        <v>312</v>
      </c>
      <c r="B101" s="556">
        <v>1</v>
      </c>
      <c r="C101" t="s">
        <v>1501</v>
      </c>
      <c r="D101" t="s">
        <v>1536</v>
      </c>
      <c r="E101" s="556">
        <f ca="1">VLOOKUP(A101,Data!C:I,7,FALSE)</f>
        <v>0</v>
      </c>
      <c r="F101" s="636" t="str">
        <f t="shared" si="14"/>
        <v>PR.PT-51</v>
      </c>
      <c r="G101" s="636" t="str">
        <f t="shared" ca="1" si="15"/>
        <v>PR.PT-510</v>
      </c>
      <c r="I101" s="24"/>
      <c r="J101" s="24" t="s">
        <v>1583</v>
      </c>
      <c r="K101" s="637">
        <f t="shared" ca="1" si="16"/>
        <v>0</v>
      </c>
      <c r="L101" s="638">
        <f t="shared" si="17"/>
        <v>3</v>
      </c>
      <c r="M101" s="638">
        <f t="shared" ca="1" si="18"/>
        <v>0</v>
      </c>
      <c r="N101" s="637">
        <f t="shared" si="19"/>
        <v>0</v>
      </c>
      <c r="O101" s="638">
        <f t="shared" si="20"/>
        <v>0</v>
      </c>
      <c r="P101" s="638">
        <f t="shared" ca="1" si="21"/>
        <v>0</v>
      </c>
      <c r="Q101" s="637">
        <f t="shared" ca="1" si="22"/>
        <v>0</v>
      </c>
      <c r="R101" s="638">
        <f t="shared" si="23"/>
        <v>2</v>
      </c>
      <c r="S101" s="638">
        <f t="shared" ca="1" si="24"/>
        <v>0</v>
      </c>
      <c r="T101" s="637">
        <f t="shared" ca="1" si="25"/>
        <v>0</v>
      </c>
      <c r="U101" s="638">
        <f t="shared" si="26"/>
        <v>1</v>
      </c>
      <c r="V101" s="638">
        <f t="shared" ca="1" si="27"/>
        <v>0</v>
      </c>
    </row>
    <row r="102" spans="1:22" x14ac:dyDescent="0.25">
      <c r="A102" t="s">
        <v>313</v>
      </c>
      <c r="B102" s="556">
        <v>2</v>
      </c>
      <c r="C102" t="s">
        <v>1501</v>
      </c>
      <c r="D102" t="s">
        <v>1532</v>
      </c>
      <c r="E102" s="556">
        <f ca="1">VLOOKUP(A102,Data!C:I,7,FALSE)</f>
        <v>0</v>
      </c>
      <c r="F102" s="636" t="str">
        <f t="shared" si="14"/>
        <v>PR.AC-52</v>
      </c>
      <c r="G102" s="636" t="str">
        <f t="shared" ca="1" si="15"/>
        <v>PR.AC-520</v>
      </c>
      <c r="I102" s="24" t="s">
        <v>1828</v>
      </c>
      <c r="J102" s="24" t="s">
        <v>1570</v>
      </c>
      <c r="K102" s="637">
        <f t="shared" ca="1" si="16"/>
        <v>0</v>
      </c>
      <c r="L102" s="638">
        <f t="shared" si="17"/>
        <v>14</v>
      </c>
      <c r="M102" s="638">
        <f t="shared" ca="1" si="18"/>
        <v>0</v>
      </c>
      <c r="N102" s="637">
        <f t="shared" ca="1" si="19"/>
        <v>0</v>
      </c>
      <c r="O102" s="638">
        <f t="shared" si="20"/>
        <v>6</v>
      </c>
      <c r="P102" s="638">
        <f t="shared" ca="1" si="21"/>
        <v>0</v>
      </c>
      <c r="Q102" s="637">
        <f t="shared" ca="1" si="22"/>
        <v>0</v>
      </c>
      <c r="R102" s="638">
        <f t="shared" si="23"/>
        <v>4</v>
      </c>
      <c r="S102" s="638">
        <f t="shared" ca="1" si="24"/>
        <v>0</v>
      </c>
      <c r="T102" s="637">
        <f t="shared" ca="1" si="25"/>
        <v>0</v>
      </c>
      <c r="U102" s="638">
        <f t="shared" si="26"/>
        <v>4</v>
      </c>
      <c r="V102" s="638">
        <f t="shared" ca="1" si="27"/>
        <v>0</v>
      </c>
    </row>
    <row r="103" spans="1:22" x14ac:dyDescent="0.25">
      <c r="A103" t="s">
        <v>313</v>
      </c>
      <c r="B103" s="556">
        <v>2</v>
      </c>
      <c r="C103" t="s">
        <v>1501</v>
      </c>
      <c r="D103" t="s">
        <v>1533</v>
      </c>
      <c r="E103" s="556">
        <f ca="1">VLOOKUP(A103,Data!C:I,7,FALSE)</f>
        <v>0</v>
      </c>
      <c r="F103" s="636" t="str">
        <f t="shared" si="14"/>
        <v>PR.PT-42</v>
      </c>
      <c r="G103" s="636" t="str">
        <f t="shared" ca="1" si="15"/>
        <v>PR.PT-420</v>
      </c>
      <c r="I103" s="24" t="s">
        <v>1832</v>
      </c>
      <c r="J103" s="24" t="s">
        <v>1571</v>
      </c>
      <c r="K103" s="637">
        <f t="shared" ca="1" si="16"/>
        <v>0</v>
      </c>
      <c r="L103" s="638">
        <f t="shared" si="17"/>
        <v>3</v>
      </c>
      <c r="M103" s="638">
        <f t="shared" ca="1" si="18"/>
        <v>0</v>
      </c>
      <c r="N103" s="637">
        <f t="shared" ca="1" si="19"/>
        <v>0</v>
      </c>
      <c r="O103" s="638">
        <f t="shared" si="20"/>
        <v>2</v>
      </c>
      <c r="P103" s="638">
        <f t="shared" ca="1" si="21"/>
        <v>0</v>
      </c>
      <c r="Q103" s="637">
        <f t="shared" ca="1" si="22"/>
        <v>0</v>
      </c>
      <c r="R103" s="638">
        <f t="shared" si="23"/>
        <v>1</v>
      </c>
      <c r="S103" s="638">
        <f t="shared" ca="1" si="24"/>
        <v>0</v>
      </c>
      <c r="T103" s="637">
        <f t="shared" si="25"/>
        <v>0</v>
      </c>
      <c r="U103" s="638">
        <f t="shared" si="26"/>
        <v>0</v>
      </c>
      <c r="V103" s="638">
        <f t="shared" ca="1" si="27"/>
        <v>0</v>
      </c>
    </row>
    <row r="104" spans="1:22" x14ac:dyDescent="0.25">
      <c r="A104" t="s">
        <v>314</v>
      </c>
      <c r="B104" s="556">
        <v>2</v>
      </c>
      <c r="C104" t="s">
        <v>1501</v>
      </c>
      <c r="D104" t="s">
        <v>1532</v>
      </c>
      <c r="E104" s="556">
        <f ca="1">VLOOKUP(A104,Data!C:I,7,FALSE)</f>
        <v>0</v>
      </c>
      <c r="F104" s="636" t="str">
        <f t="shared" si="14"/>
        <v>PR.AC-52</v>
      </c>
      <c r="G104" s="636" t="str">
        <f t="shared" ca="1" si="15"/>
        <v>PR.AC-520</v>
      </c>
      <c r="I104" s="24"/>
      <c r="J104" s="24" t="s">
        <v>1574</v>
      </c>
      <c r="K104" s="637">
        <f t="shared" ca="1" si="16"/>
        <v>0</v>
      </c>
      <c r="L104" s="638">
        <f t="shared" si="17"/>
        <v>3</v>
      </c>
      <c r="M104" s="638">
        <f t="shared" ca="1" si="18"/>
        <v>0</v>
      </c>
      <c r="N104" s="637">
        <f t="shared" si="19"/>
        <v>0</v>
      </c>
      <c r="O104" s="638">
        <f t="shared" si="20"/>
        <v>0</v>
      </c>
      <c r="P104" s="638">
        <f t="shared" ca="1" si="21"/>
        <v>0</v>
      </c>
      <c r="Q104" s="637">
        <f t="shared" ca="1" si="22"/>
        <v>0</v>
      </c>
      <c r="R104" s="638">
        <f t="shared" si="23"/>
        <v>3</v>
      </c>
      <c r="S104" s="638">
        <f t="shared" ca="1" si="24"/>
        <v>0</v>
      </c>
      <c r="T104" s="637">
        <f t="shared" si="25"/>
        <v>0</v>
      </c>
      <c r="U104" s="638">
        <f t="shared" si="26"/>
        <v>0</v>
      </c>
      <c r="V104" s="638">
        <f t="shared" ca="1" si="27"/>
        <v>0</v>
      </c>
    </row>
    <row r="105" spans="1:22" x14ac:dyDescent="0.25">
      <c r="A105" t="s">
        <v>314</v>
      </c>
      <c r="B105" s="556">
        <v>2</v>
      </c>
      <c r="C105" t="s">
        <v>1501</v>
      </c>
      <c r="D105" t="s">
        <v>1520</v>
      </c>
      <c r="E105" s="556">
        <f ca="1">VLOOKUP(A105,Data!C:I,7,FALSE)</f>
        <v>0</v>
      </c>
      <c r="F105" s="636" t="str">
        <f t="shared" si="14"/>
        <v>PR.PT-32</v>
      </c>
      <c r="G105" s="636" t="str">
        <f t="shared" ca="1" si="15"/>
        <v>PR.PT-320</v>
      </c>
      <c r="I105" s="24"/>
      <c r="J105" s="24" t="s">
        <v>1575</v>
      </c>
      <c r="K105" s="637">
        <f t="shared" ca="1" si="16"/>
        <v>0</v>
      </c>
      <c r="L105" s="638">
        <f t="shared" si="17"/>
        <v>9</v>
      </c>
      <c r="M105" s="638">
        <f t="shared" ca="1" si="18"/>
        <v>0</v>
      </c>
      <c r="N105" s="637">
        <f t="shared" si="19"/>
        <v>0</v>
      </c>
      <c r="O105" s="638">
        <f t="shared" si="20"/>
        <v>0</v>
      </c>
      <c r="P105" s="638">
        <f t="shared" ca="1" si="21"/>
        <v>0</v>
      </c>
      <c r="Q105" s="637">
        <f t="shared" ca="1" si="22"/>
        <v>0</v>
      </c>
      <c r="R105" s="638">
        <f t="shared" si="23"/>
        <v>4</v>
      </c>
      <c r="S105" s="638">
        <f t="shared" ca="1" si="24"/>
        <v>0</v>
      </c>
      <c r="T105" s="637">
        <f t="shared" ca="1" si="25"/>
        <v>0</v>
      </c>
      <c r="U105" s="638">
        <f t="shared" si="26"/>
        <v>5</v>
      </c>
      <c r="V105" s="638">
        <f t="shared" ca="1" si="27"/>
        <v>0</v>
      </c>
    </row>
    <row r="106" spans="1:22" x14ac:dyDescent="0.25">
      <c r="A106" t="s">
        <v>314</v>
      </c>
      <c r="B106" s="556">
        <v>2</v>
      </c>
      <c r="C106" t="s">
        <v>1501</v>
      </c>
      <c r="D106" t="s">
        <v>1533</v>
      </c>
      <c r="E106" s="556">
        <f ca="1">VLOOKUP(A106,Data!C:I,7,FALSE)</f>
        <v>0</v>
      </c>
      <c r="F106" s="636" t="str">
        <f t="shared" si="14"/>
        <v>PR.PT-42</v>
      </c>
      <c r="G106" s="636" t="str">
        <f t="shared" ca="1" si="15"/>
        <v>PR.PT-420</v>
      </c>
      <c r="I106" s="24"/>
      <c r="J106" s="24" t="s">
        <v>1573</v>
      </c>
      <c r="K106" s="637">
        <f t="shared" ca="1" si="16"/>
        <v>0</v>
      </c>
      <c r="L106" s="638">
        <f t="shared" si="17"/>
        <v>5</v>
      </c>
      <c r="M106" s="638">
        <f t="shared" ca="1" si="18"/>
        <v>0</v>
      </c>
      <c r="N106" s="637">
        <f t="shared" ca="1" si="19"/>
        <v>0</v>
      </c>
      <c r="O106" s="638">
        <f t="shared" si="20"/>
        <v>1</v>
      </c>
      <c r="P106" s="638">
        <f t="shared" ca="1" si="21"/>
        <v>0</v>
      </c>
      <c r="Q106" s="637">
        <f t="shared" ca="1" si="22"/>
        <v>0</v>
      </c>
      <c r="R106" s="638">
        <f t="shared" si="23"/>
        <v>3</v>
      </c>
      <c r="S106" s="638">
        <f t="shared" ca="1" si="24"/>
        <v>0</v>
      </c>
      <c r="T106" s="637">
        <f t="shared" ca="1" si="25"/>
        <v>0</v>
      </c>
      <c r="U106" s="638">
        <f t="shared" si="26"/>
        <v>1</v>
      </c>
      <c r="V106" s="638">
        <f t="shared" ca="1" si="27"/>
        <v>0</v>
      </c>
    </row>
    <row r="107" spans="1:22" x14ac:dyDescent="0.25">
      <c r="A107" t="s">
        <v>993</v>
      </c>
      <c r="B107" s="556">
        <v>2</v>
      </c>
      <c r="C107" t="s">
        <v>1501</v>
      </c>
      <c r="D107" t="s">
        <v>1532</v>
      </c>
      <c r="E107" s="556">
        <f ca="1">VLOOKUP(A107,Data!C:I,7,FALSE)</f>
        <v>0</v>
      </c>
      <c r="F107" s="636" t="str">
        <f t="shared" si="14"/>
        <v>PR.AC-52</v>
      </c>
      <c r="G107" s="636" t="str">
        <f t="shared" ca="1" si="15"/>
        <v>PR.AC-520</v>
      </c>
      <c r="I107" s="24"/>
      <c r="J107" s="24" t="s">
        <v>1606</v>
      </c>
      <c r="K107" s="637">
        <f t="shared" ca="1" si="16"/>
        <v>0</v>
      </c>
      <c r="L107" s="638">
        <f t="shared" si="17"/>
        <v>5</v>
      </c>
      <c r="M107" s="638">
        <f t="shared" ca="1" si="18"/>
        <v>0</v>
      </c>
      <c r="N107" s="637">
        <f t="shared" ca="1" si="19"/>
        <v>0</v>
      </c>
      <c r="O107" s="638">
        <f t="shared" si="20"/>
        <v>1</v>
      </c>
      <c r="P107" s="638">
        <f t="shared" ca="1" si="21"/>
        <v>0</v>
      </c>
      <c r="Q107" s="637">
        <f t="shared" ca="1" si="22"/>
        <v>0</v>
      </c>
      <c r="R107" s="638">
        <f t="shared" si="23"/>
        <v>1</v>
      </c>
      <c r="S107" s="638">
        <f t="shared" ca="1" si="24"/>
        <v>0</v>
      </c>
      <c r="T107" s="637">
        <f t="shared" ca="1" si="25"/>
        <v>0</v>
      </c>
      <c r="U107" s="638">
        <f t="shared" si="26"/>
        <v>3</v>
      </c>
      <c r="V107" s="638">
        <f t="shared" ca="1" si="27"/>
        <v>0</v>
      </c>
    </row>
    <row r="108" spans="1:22" x14ac:dyDescent="0.25">
      <c r="A108" t="s">
        <v>993</v>
      </c>
      <c r="B108" s="556">
        <v>2</v>
      </c>
      <c r="C108" t="s">
        <v>1501</v>
      </c>
      <c r="D108" t="s">
        <v>1533</v>
      </c>
      <c r="E108" s="556">
        <f ca="1">VLOOKUP(A108,Data!C:I,7,FALSE)</f>
        <v>0</v>
      </c>
      <c r="F108" s="636" t="str">
        <f t="shared" si="14"/>
        <v>PR.PT-42</v>
      </c>
      <c r="G108" s="636" t="str">
        <f t="shared" ca="1" si="15"/>
        <v>PR.PT-420</v>
      </c>
      <c r="I108" s="24" t="s">
        <v>1840</v>
      </c>
      <c r="J108" s="24" t="s">
        <v>1581</v>
      </c>
      <c r="K108" s="637">
        <f t="shared" ca="1" si="16"/>
        <v>0</v>
      </c>
      <c r="L108" s="638">
        <f t="shared" si="17"/>
        <v>5</v>
      </c>
      <c r="M108" s="638">
        <f t="shared" ca="1" si="18"/>
        <v>0</v>
      </c>
      <c r="N108" s="637">
        <f t="shared" ca="1" si="19"/>
        <v>0</v>
      </c>
      <c r="O108" s="638">
        <f t="shared" si="20"/>
        <v>1</v>
      </c>
      <c r="P108" s="638">
        <f t="shared" ca="1" si="21"/>
        <v>0</v>
      </c>
      <c r="Q108" s="637">
        <f t="shared" ca="1" si="22"/>
        <v>0</v>
      </c>
      <c r="R108" s="638">
        <f t="shared" si="23"/>
        <v>2</v>
      </c>
      <c r="S108" s="638">
        <f t="shared" ca="1" si="24"/>
        <v>0</v>
      </c>
      <c r="T108" s="637">
        <f t="shared" ca="1" si="25"/>
        <v>0</v>
      </c>
      <c r="U108" s="638">
        <f t="shared" si="26"/>
        <v>2</v>
      </c>
      <c r="V108" s="638">
        <f t="shared" ca="1" si="27"/>
        <v>0</v>
      </c>
    </row>
    <row r="109" spans="1:22" x14ac:dyDescent="0.25">
      <c r="A109" t="s">
        <v>994</v>
      </c>
      <c r="B109" s="556">
        <v>2</v>
      </c>
      <c r="C109" t="s">
        <v>1502</v>
      </c>
      <c r="D109" t="s">
        <v>1537</v>
      </c>
      <c r="E109" s="556">
        <f ca="1">VLOOKUP(A109,Data!C:I,7,FALSE)</f>
        <v>0</v>
      </c>
      <c r="F109" s="636" t="str">
        <f t="shared" si="14"/>
        <v>DE.CM-12</v>
      </c>
      <c r="G109" s="636" t="str">
        <f t="shared" ca="1" si="15"/>
        <v>DE.CM-120</v>
      </c>
      <c r="I109" s="24"/>
      <c r="J109" s="24" t="s">
        <v>1587</v>
      </c>
      <c r="K109" s="637">
        <f t="shared" ca="1" si="16"/>
        <v>0</v>
      </c>
      <c r="L109" s="638">
        <f t="shared" si="17"/>
        <v>2</v>
      </c>
      <c r="M109" s="638">
        <f t="shared" ca="1" si="18"/>
        <v>0</v>
      </c>
      <c r="N109" s="637">
        <f t="shared" si="19"/>
        <v>0</v>
      </c>
      <c r="O109" s="638">
        <f t="shared" si="20"/>
        <v>0</v>
      </c>
      <c r="P109" s="638">
        <f t="shared" ca="1" si="21"/>
        <v>0</v>
      </c>
      <c r="Q109" s="637">
        <f t="shared" ca="1" si="22"/>
        <v>0</v>
      </c>
      <c r="R109" s="638">
        <f t="shared" si="23"/>
        <v>1</v>
      </c>
      <c r="S109" s="638">
        <f t="shared" ca="1" si="24"/>
        <v>0</v>
      </c>
      <c r="T109" s="637">
        <f t="shared" ca="1" si="25"/>
        <v>0</v>
      </c>
      <c r="U109" s="638">
        <f t="shared" si="26"/>
        <v>1</v>
      </c>
      <c r="V109" s="638">
        <f t="shared" ca="1" si="27"/>
        <v>0</v>
      </c>
    </row>
    <row r="110" spans="1:22" x14ac:dyDescent="0.25">
      <c r="A110" t="s">
        <v>994</v>
      </c>
      <c r="B110" s="556">
        <v>2</v>
      </c>
      <c r="C110" t="s">
        <v>1501</v>
      </c>
      <c r="D110" t="s">
        <v>1532</v>
      </c>
      <c r="E110" s="556">
        <f ca="1">VLOOKUP(A110,Data!C:I,7,FALSE)</f>
        <v>0</v>
      </c>
      <c r="F110" s="636" t="str">
        <f t="shared" si="14"/>
        <v>PR.AC-52</v>
      </c>
      <c r="G110" s="636" t="str">
        <f t="shared" ca="1" si="15"/>
        <v>PR.AC-520</v>
      </c>
      <c r="I110" s="24"/>
      <c r="J110" s="24" t="s">
        <v>1599</v>
      </c>
      <c r="K110" s="637">
        <f t="shared" ca="1" si="16"/>
        <v>0</v>
      </c>
      <c r="L110" s="638">
        <f t="shared" si="17"/>
        <v>1</v>
      </c>
      <c r="M110" s="638">
        <f t="shared" ca="1" si="18"/>
        <v>0</v>
      </c>
      <c r="N110" s="637">
        <f t="shared" si="19"/>
        <v>0</v>
      </c>
      <c r="O110" s="638">
        <f t="shared" si="20"/>
        <v>0</v>
      </c>
      <c r="P110" s="638">
        <f t="shared" ca="1" si="21"/>
        <v>0</v>
      </c>
      <c r="Q110" s="637">
        <f t="shared" si="22"/>
        <v>0</v>
      </c>
      <c r="R110" s="638">
        <f t="shared" si="23"/>
        <v>0</v>
      </c>
      <c r="S110" s="638">
        <f t="shared" ca="1" si="24"/>
        <v>0</v>
      </c>
      <c r="T110" s="637">
        <f t="shared" ca="1" si="25"/>
        <v>0</v>
      </c>
      <c r="U110" s="638">
        <f t="shared" si="26"/>
        <v>1</v>
      </c>
      <c r="V110" s="638">
        <f t="shared" ca="1" si="27"/>
        <v>0</v>
      </c>
    </row>
    <row r="111" spans="1:22" x14ac:dyDescent="0.25">
      <c r="A111" t="s">
        <v>994</v>
      </c>
      <c r="B111" s="556">
        <v>2</v>
      </c>
      <c r="C111" t="s">
        <v>1501</v>
      </c>
      <c r="D111" t="s">
        <v>1533</v>
      </c>
      <c r="E111" s="556">
        <f ca="1">VLOOKUP(A111,Data!C:I,7,FALSE)</f>
        <v>0</v>
      </c>
      <c r="F111" s="636" t="str">
        <f t="shared" si="14"/>
        <v>PR.PT-42</v>
      </c>
      <c r="G111" s="636" t="str">
        <f t="shared" ca="1" si="15"/>
        <v>PR.PT-420</v>
      </c>
      <c r="I111" s="24"/>
      <c r="J111" s="24" t="s">
        <v>1585</v>
      </c>
      <c r="K111" s="637">
        <f t="shared" ca="1" si="16"/>
        <v>0</v>
      </c>
      <c r="L111" s="638">
        <f t="shared" si="17"/>
        <v>4</v>
      </c>
      <c r="M111" s="638">
        <f t="shared" ca="1" si="18"/>
        <v>0</v>
      </c>
      <c r="N111" s="637">
        <f t="shared" ca="1" si="19"/>
        <v>0</v>
      </c>
      <c r="O111" s="638">
        <f t="shared" si="20"/>
        <v>1</v>
      </c>
      <c r="P111" s="638">
        <f t="shared" ca="1" si="21"/>
        <v>0</v>
      </c>
      <c r="Q111" s="637">
        <f t="shared" ca="1" si="22"/>
        <v>0</v>
      </c>
      <c r="R111" s="638">
        <f t="shared" si="23"/>
        <v>2</v>
      </c>
      <c r="S111" s="638">
        <f t="shared" ca="1" si="24"/>
        <v>0</v>
      </c>
      <c r="T111" s="637">
        <f t="shared" ca="1" si="25"/>
        <v>0</v>
      </c>
      <c r="U111" s="638">
        <f t="shared" si="26"/>
        <v>1</v>
      </c>
      <c r="V111" s="638">
        <f t="shared" ca="1" si="27"/>
        <v>0</v>
      </c>
    </row>
    <row r="112" spans="1:22" x14ac:dyDescent="0.25">
      <c r="A112" t="s">
        <v>995</v>
      </c>
      <c r="B112" s="556">
        <v>2</v>
      </c>
      <c r="C112" t="s">
        <v>1502</v>
      </c>
      <c r="D112" t="s">
        <v>1537</v>
      </c>
      <c r="E112" s="556">
        <f ca="1">VLOOKUP(A112,Data!C:I,7,FALSE)</f>
        <v>0</v>
      </c>
      <c r="F112" s="636" t="str">
        <f t="shared" si="14"/>
        <v>DE.CM-12</v>
      </c>
      <c r="G112" s="636" t="str">
        <f t="shared" ca="1" si="15"/>
        <v>DE.CM-120</v>
      </c>
      <c r="I112" s="24"/>
      <c r="J112" s="24" t="s">
        <v>1611</v>
      </c>
      <c r="K112" s="637">
        <f t="shared" ca="1" si="16"/>
        <v>0</v>
      </c>
      <c r="L112" s="638">
        <f t="shared" si="17"/>
        <v>11</v>
      </c>
      <c r="M112" s="638">
        <f t="shared" ca="1" si="18"/>
        <v>0</v>
      </c>
      <c r="N112" s="637">
        <f t="shared" ca="1" si="19"/>
        <v>0</v>
      </c>
      <c r="O112" s="638">
        <f t="shared" si="20"/>
        <v>4</v>
      </c>
      <c r="P112" s="638">
        <f t="shared" ca="1" si="21"/>
        <v>0</v>
      </c>
      <c r="Q112" s="637">
        <f t="shared" ca="1" si="22"/>
        <v>0</v>
      </c>
      <c r="R112" s="638">
        <f t="shared" si="23"/>
        <v>3</v>
      </c>
      <c r="S112" s="638">
        <f t="shared" ca="1" si="24"/>
        <v>0</v>
      </c>
      <c r="T112" s="637">
        <f t="shared" ca="1" si="25"/>
        <v>0</v>
      </c>
      <c r="U112" s="638">
        <f t="shared" si="26"/>
        <v>4</v>
      </c>
      <c r="V112" s="638">
        <f t="shared" ca="1" si="27"/>
        <v>0</v>
      </c>
    </row>
    <row r="113" spans="1:22" x14ac:dyDescent="0.25">
      <c r="A113" t="s">
        <v>995</v>
      </c>
      <c r="B113" s="556">
        <v>2</v>
      </c>
      <c r="C113" t="s">
        <v>1502</v>
      </c>
      <c r="D113" t="s">
        <v>1523</v>
      </c>
      <c r="E113" s="556">
        <f ca="1">VLOOKUP(A113,Data!C:I,7,FALSE)</f>
        <v>0</v>
      </c>
      <c r="F113" s="636" t="str">
        <f t="shared" si="14"/>
        <v>DE.CM-32</v>
      </c>
      <c r="G113" s="636" t="str">
        <f t="shared" ca="1" si="15"/>
        <v>DE.CM-320</v>
      </c>
      <c r="I113" s="24" t="s">
        <v>1848</v>
      </c>
      <c r="J113" s="24" t="s">
        <v>1591</v>
      </c>
      <c r="K113" s="637">
        <f t="shared" ca="1" si="16"/>
        <v>0</v>
      </c>
      <c r="L113" s="638">
        <f t="shared" si="17"/>
        <v>1</v>
      </c>
      <c r="M113" s="638">
        <f t="shared" ca="1" si="18"/>
        <v>0</v>
      </c>
      <c r="N113" s="637">
        <f t="shared" ca="1" si="19"/>
        <v>0</v>
      </c>
      <c r="O113" s="638">
        <f t="shared" si="20"/>
        <v>1</v>
      </c>
      <c r="P113" s="638">
        <f t="shared" ca="1" si="21"/>
        <v>0</v>
      </c>
      <c r="Q113" s="637">
        <f t="shared" si="22"/>
        <v>0</v>
      </c>
      <c r="R113" s="638">
        <f t="shared" si="23"/>
        <v>0</v>
      </c>
      <c r="S113" s="638">
        <f t="shared" ca="1" si="24"/>
        <v>0</v>
      </c>
      <c r="T113" s="637">
        <f t="shared" si="25"/>
        <v>0</v>
      </c>
      <c r="U113" s="638">
        <f t="shared" si="26"/>
        <v>0</v>
      </c>
      <c r="V113" s="638">
        <f t="shared" ca="1" si="27"/>
        <v>0</v>
      </c>
    </row>
    <row r="114" spans="1:22" x14ac:dyDescent="0.25">
      <c r="A114" t="s">
        <v>995</v>
      </c>
      <c r="B114" s="556">
        <v>2</v>
      </c>
      <c r="C114" t="s">
        <v>1502</v>
      </c>
      <c r="D114" t="s">
        <v>1525</v>
      </c>
      <c r="E114" s="556">
        <f ca="1">VLOOKUP(A114,Data!C:I,7,FALSE)</f>
        <v>0</v>
      </c>
      <c r="F114" s="636" t="str">
        <f t="shared" si="14"/>
        <v>DE.CM-72</v>
      </c>
      <c r="G114" s="636" t="str">
        <f t="shared" ca="1" si="15"/>
        <v>DE.CM-720</v>
      </c>
      <c r="I114" s="24"/>
      <c r="J114" s="24" t="s">
        <v>1592</v>
      </c>
      <c r="K114" s="637">
        <f t="shared" ca="1" si="16"/>
        <v>0</v>
      </c>
      <c r="L114" s="638">
        <f t="shared" si="17"/>
        <v>1</v>
      </c>
      <c r="M114" s="638">
        <f t="shared" ca="1" si="18"/>
        <v>0</v>
      </c>
      <c r="N114" s="637">
        <f t="shared" ca="1" si="19"/>
        <v>0</v>
      </c>
      <c r="O114" s="638">
        <f t="shared" si="20"/>
        <v>1</v>
      </c>
      <c r="P114" s="638">
        <f t="shared" ca="1" si="21"/>
        <v>0</v>
      </c>
      <c r="Q114" s="637">
        <f t="shared" si="22"/>
        <v>0</v>
      </c>
      <c r="R114" s="638">
        <f t="shared" si="23"/>
        <v>0</v>
      </c>
      <c r="S114" s="638">
        <f t="shared" ca="1" si="24"/>
        <v>0</v>
      </c>
      <c r="T114" s="637">
        <f t="shared" si="25"/>
        <v>0</v>
      </c>
      <c r="U114" s="638">
        <f t="shared" si="26"/>
        <v>0</v>
      </c>
      <c r="V114" s="638">
        <f t="shared" ca="1" si="27"/>
        <v>0</v>
      </c>
    </row>
    <row r="115" spans="1:22" x14ac:dyDescent="0.25">
      <c r="A115" t="s">
        <v>996</v>
      </c>
      <c r="B115" s="556">
        <v>3</v>
      </c>
      <c r="C115" t="s">
        <v>1501</v>
      </c>
      <c r="D115" t="s">
        <v>1532</v>
      </c>
      <c r="E115" s="556">
        <f ca="1">VLOOKUP(A115,Data!C:I,7,FALSE)</f>
        <v>0</v>
      </c>
      <c r="F115" s="636" t="str">
        <f t="shared" si="14"/>
        <v>PR.AC-53</v>
      </c>
      <c r="G115" s="636" t="str">
        <f t="shared" ca="1" si="15"/>
        <v>PR.AC-530</v>
      </c>
      <c r="I115" s="24"/>
      <c r="J115" s="24" t="s">
        <v>1601</v>
      </c>
      <c r="K115" s="637">
        <f t="shared" ca="1" si="16"/>
        <v>0</v>
      </c>
      <c r="L115" s="638">
        <f t="shared" si="17"/>
        <v>6</v>
      </c>
      <c r="M115" s="638">
        <f t="shared" ca="1" si="18"/>
        <v>0</v>
      </c>
      <c r="N115" s="637">
        <f t="shared" ca="1" si="19"/>
        <v>0</v>
      </c>
      <c r="O115" s="638">
        <f t="shared" si="20"/>
        <v>1</v>
      </c>
      <c r="P115" s="638">
        <f t="shared" ca="1" si="21"/>
        <v>0</v>
      </c>
      <c r="Q115" s="637">
        <f t="shared" ca="1" si="22"/>
        <v>0</v>
      </c>
      <c r="R115" s="638">
        <f t="shared" si="23"/>
        <v>2</v>
      </c>
      <c r="S115" s="638">
        <f t="shared" ca="1" si="24"/>
        <v>0</v>
      </c>
      <c r="T115" s="637">
        <f t="shared" ca="1" si="25"/>
        <v>0</v>
      </c>
      <c r="U115" s="638">
        <f t="shared" si="26"/>
        <v>3</v>
      </c>
      <c r="V115" s="638">
        <f t="shared" ca="1" si="27"/>
        <v>0</v>
      </c>
    </row>
    <row r="116" spans="1:22" x14ac:dyDescent="0.25">
      <c r="A116" t="s">
        <v>996</v>
      </c>
      <c r="B116" s="556">
        <v>3</v>
      </c>
      <c r="C116" t="s">
        <v>1501</v>
      </c>
      <c r="D116" t="s">
        <v>1533</v>
      </c>
      <c r="E116" s="556">
        <f ca="1">VLOOKUP(A116,Data!C:I,7,FALSE)</f>
        <v>0</v>
      </c>
      <c r="F116" s="636" t="str">
        <f t="shared" si="14"/>
        <v>PR.PT-43</v>
      </c>
      <c r="G116" s="636" t="str">
        <f t="shared" ca="1" si="15"/>
        <v>PR.PT-430</v>
      </c>
      <c r="I116" s="24" t="s">
        <v>1854</v>
      </c>
      <c r="J116" s="24" t="s">
        <v>1597</v>
      </c>
      <c r="K116" s="637">
        <f t="shared" ca="1" si="16"/>
        <v>0</v>
      </c>
      <c r="L116" s="638">
        <f t="shared" si="17"/>
        <v>2</v>
      </c>
      <c r="M116" s="638">
        <f t="shared" ca="1" si="18"/>
        <v>0</v>
      </c>
      <c r="N116" s="637">
        <f t="shared" si="19"/>
        <v>0</v>
      </c>
      <c r="O116" s="638">
        <f t="shared" si="20"/>
        <v>0</v>
      </c>
      <c r="P116" s="638">
        <f t="shared" ca="1" si="21"/>
        <v>0</v>
      </c>
      <c r="Q116" s="637">
        <f t="shared" ca="1" si="22"/>
        <v>0</v>
      </c>
      <c r="R116" s="638">
        <f t="shared" si="23"/>
        <v>1</v>
      </c>
      <c r="S116" s="638">
        <f t="shared" ca="1" si="24"/>
        <v>0</v>
      </c>
      <c r="T116" s="637">
        <f t="shared" ca="1" si="25"/>
        <v>0</v>
      </c>
      <c r="U116" s="638">
        <f t="shared" si="26"/>
        <v>1</v>
      </c>
      <c r="V116" s="638">
        <f t="shared" ca="1" si="27"/>
        <v>0</v>
      </c>
    </row>
    <row r="117" spans="1:22" x14ac:dyDescent="0.25">
      <c r="A117" t="s">
        <v>997</v>
      </c>
      <c r="B117" s="556">
        <v>3</v>
      </c>
      <c r="C117" t="s">
        <v>1501</v>
      </c>
      <c r="D117" t="s">
        <v>1532</v>
      </c>
      <c r="E117" s="556">
        <f ca="1">VLOOKUP(A117,Data!C:I,7,FALSE)</f>
        <v>0</v>
      </c>
      <c r="F117" s="636" t="str">
        <f t="shared" si="14"/>
        <v>PR.AC-53</v>
      </c>
      <c r="G117" s="636" t="str">
        <f t="shared" ca="1" si="15"/>
        <v>PR.AC-530</v>
      </c>
      <c r="I117" s="24"/>
      <c r="J117" s="24" t="s">
        <v>1598</v>
      </c>
      <c r="K117" s="637">
        <f t="shared" ca="1" si="16"/>
        <v>0</v>
      </c>
      <c r="L117" s="638">
        <f t="shared" si="17"/>
        <v>2</v>
      </c>
      <c r="M117" s="638">
        <f t="shared" ca="1" si="18"/>
        <v>0</v>
      </c>
      <c r="N117" s="637">
        <f t="shared" si="19"/>
        <v>0</v>
      </c>
      <c r="O117" s="638">
        <f t="shared" si="20"/>
        <v>0</v>
      </c>
      <c r="P117" s="638">
        <f t="shared" ca="1" si="21"/>
        <v>0</v>
      </c>
      <c r="Q117" s="637">
        <f t="shared" ca="1" si="22"/>
        <v>0</v>
      </c>
      <c r="R117" s="638">
        <f t="shared" si="23"/>
        <v>1</v>
      </c>
      <c r="S117" s="638">
        <f t="shared" ca="1" si="24"/>
        <v>0</v>
      </c>
      <c r="T117" s="637">
        <f t="shared" ca="1" si="25"/>
        <v>0</v>
      </c>
      <c r="U117" s="638">
        <f t="shared" si="26"/>
        <v>1</v>
      </c>
      <c r="V117" s="638">
        <f t="shared" ca="1" si="27"/>
        <v>0</v>
      </c>
    </row>
    <row r="118" spans="1:22" x14ac:dyDescent="0.25">
      <c r="A118" t="s">
        <v>997</v>
      </c>
      <c r="B118" s="556">
        <v>3</v>
      </c>
      <c r="C118" t="s">
        <v>1501</v>
      </c>
      <c r="D118" t="s">
        <v>1520</v>
      </c>
      <c r="E118" s="556">
        <f ca="1">VLOOKUP(A118,Data!C:I,7,FALSE)</f>
        <v>0</v>
      </c>
      <c r="F118" s="636" t="str">
        <f t="shared" si="14"/>
        <v>PR.PT-33</v>
      </c>
      <c r="G118" s="636" t="str">
        <f t="shared" ca="1" si="15"/>
        <v>PR.PT-330</v>
      </c>
      <c r="I118" s="24" t="s">
        <v>1859</v>
      </c>
      <c r="J118" s="24" t="s">
        <v>1590</v>
      </c>
      <c r="K118" s="637">
        <f t="shared" ca="1" si="16"/>
        <v>0</v>
      </c>
      <c r="L118" s="638">
        <f t="shared" si="17"/>
        <v>7</v>
      </c>
      <c r="M118" s="638">
        <f t="shared" ca="1" si="18"/>
        <v>0</v>
      </c>
      <c r="N118" s="637">
        <f t="shared" ca="1" si="19"/>
        <v>0</v>
      </c>
      <c r="O118" s="638">
        <f t="shared" si="20"/>
        <v>1</v>
      </c>
      <c r="P118" s="638">
        <f t="shared" ca="1" si="21"/>
        <v>0</v>
      </c>
      <c r="Q118" s="637">
        <f t="shared" ca="1" si="22"/>
        <v>0</v>
      </c>
      <c r="R118" s="638">
        <f t="shared" si="23"/>
        <v>3</v>
      </c>
      <c r="S118" s="638">
        <f t="shared" ca="1" si="24"/>
        <v>0</v>
      </c>
      <c r="T118" s="637">
        <f t="shared" ca="1" si="25"/>
        <v>0</v>
      </c>
      <c r="U118" s="638">
        <f t="shared" si="26"/>
        <v>3</v>
      </c>
      <c r="V118" s="638">
        <f t="shared" ca="1" si="27"/>
        <v>0</v>
      </c>
    </row>
    <row r="119" spans="1:22" x14ac:dyDescent="0.25">
      <c r="A119" t="s">
        <v>997</v>
      </c>
      <c r="B119" s="556">
        <v>3</v>
      </c>
      <c r="C119" t="s">
        <v>1501</v>
      </c>
      <c r="D119" t="s">
        <v>1533</v>
      </c>
      <c r="E119" s="556">
        <f ca="1">VLOOKUP(A119,Data!C:I,7,FALSE)</f>
        <v>0</v>
      </c>
      <c r="F119" s="636" t="str">
        <f t="shared" si="14"/>
        <v>PR.PT-43</v>
      </c>
      <c r="G119" s="636" t="str">
        <f t="shared" ca="1" si="15"/>
        <v>PR.PT-430</v>
      </c>
      <c r="I119" s="24" t="s">
        <v>1863</v>
      </c>
      <c r="J119" s="24" t="s">
        <v>1595</v>
      </c>
      <c r="K119" s="637">
        <f t="shared" ca="1" si="16"/>
        <v>0</v>
      </c>
      <c r="L119" s="638">
        <f t="shared" si="17"/>
        <v>4</v>
      </c>
      <c r="M119" s="638">
        <f t="shared" ca="1" si="18"/>
        <v>0</v>
      </c>
      <c r="N119" s="637">
        <f t="shared" si="19"/>
        <v>0</v>
      </c>
      <c r="O119" s="638">
        <f t="shared" si="20"/>
        <v>0</v>
      </c>
      <c r="P119" s="638">
        <f t="shared" ca="1" si="21"/>
        <v>0</v>
      </c>
      <c r="Q119" s="637">
        <f t="shared" ca="1" si="22"/>
        <v>0</v>
      </c>
      <c r="R119" s="638">
        <f t="shared" si="23"/>
        <v>1</v>
      </c>
      <c r="S119" s="638">
        <f t="shared" ca="1" si="24"/>
        <v>0</v>
      </c>
      <c r="T119" s="637">
        <f t="shared" ca="1" si="25"/>
        <v>0</v>
      </c>
      <c r="U119" s="638">
        <f t="shared" si="26"/>
        <v>3</v>
      </c>
      <c r="V119" s="638">
        <f t="shared" ca="1" si="27"/>
        <v>0</v>
      </c>
    </row>
    <row r="120" spans="1:22" x14ac:dyDescent="0.25">
      <c r="A120" t="s">
        <v>998</v>
      </c>
      <c r="B120" s="556">
        <v>3</v>
      </c>
      <c r="C120" t="s">
        <v>1501</v>
      </c>
      <c r="D120" t="s">
        <v>1532</v>
      </c>
      <c r="E120" s="556">
        <f ca="1">VLOOKUP(A120,Data!C:I,7,FALSE)</f>
        <v>0</v>
      </c>
      <c r="F120" s="636" t="str">
        <f t="shared" si="14"/>
        <v>PR.AC-53</v>
      </c>
      <c r="G120" s="636" t="str">
        <f t="shared" ca="1" si="15"/>
        <v>PR.AC-530</v>
      </c>
      <c r="I120" s="24"/>
      <c r="J120" s="24" t="s">
        <v>1596</v>
      </c>
      <c r="K120" s="637">
        <f t="shared" ca="1" si="16"/>
        <v>0</v>
      </c>
      <c r="L120" s="638">
        <f t="shared" si="17"/>
        <v>5</v>
      </c>
      <c r="M120" s="638">
        <f t="shared" ca="1" si="18"/>
        <v>0</v>
      </c>
      <c r="N120" s="637">
        <f t="shared" si="19"/>
        <v>0</v>
      </c>
      <c r="O120" s="638">
        <f t="shared" si="20"/>
        <v>0</v>
      </c>
      <c r="P120" s="638">
        <f t="shared" ca="1" si="21"/>
        <v>0</v>
      </c>
      <c r="Q120" s="637">
        <f t="shared" ca="1" si="22"/>
        <v>0</v>
      </c>
      <c r="R120" s="638">
        <f t="shared" si="23"/>
        <v>1</v>
      </c>
      <c r="S120" s="638">
        <f t="shared" ca="1" si="24"/>
        <v>0</v>
      </c>
      <c r="T120" s="637">
        <f t="shared" ca="1" si="25"/>
        <v>0</v>
      </c>
      <c r="U120" s="638">
        <f t="shared" si="26"/>
        <v>4</v>
      </c>
      <c r="V120" s="638">
        <f t="shared" ca="1" si="27"/>
        <v>0</v>
      </c>
    </row>
    <row r="121" spans="1:22" x14ac:dyDescent="0.25">
      <c r="A121" t="s">
        <v>998</v>
      </c>
      <c r="B121" s="556">
        <v>3</v>
      </c>
      <c r="C121" t="s">
        <v>1501</v>
      </c>
      <c r="D121" t="s">
        <v>1534</v>
      </c>
      <c r="E121" s="556">
        <f ca="1">VLOOKUP(A121,Data!C:I,7,FALSE)</f>
        <v>0</v>
      </c>
      <c r="F121" s="636" t="str">
        <f t="shared" si="14"/>
        <v>PR.DS-43</v>
      </c>
      <c r="G121" s="636" t="str">
        <f t="shared" ca="1" si="15"/>
        <v>PR.DS-430</v>
      </c>
      <c r="I121" s="24" t="s">
        <v>1867</v>
      </c>
      <c r="J121" s="24" t="s">
        <v>1869</v>
      </c>
      <c r="K121" s="637">
        <f t="shared" si="16"/>
        <v>0</v>
      </c>
      <c r="L121" s="638">
        <f t="shared" si="17"/>
        <v>0</v>
      </c>
      <c r="M121" s="638">
        <f t="shared" ca="1" si="18"/>
        <v>0</v>
      </c>
      <c r="N121" s="637">
        <f t="shared" si="19"/>
        <v>0</v>
      </c>
      <c r="O121" s="638">
        <f t="shared" si="20"/>
        <v>0</v>
      </c>
      <c r="P121" s="638">
        <f t="shared" ca="1" si="21"/>
        <v>0</v>
      </c>
      <c r="Q121" s="637">
        <f t="shared" si="22"/>
        <v>0</v>
      </c>
      <c r="R121" s="638">
        <f t="shared" si="23"/>
        <v>0</v>
      </c>
      <c r="S121" s="638">
        <f t="shared" ca="1" si="24"/>
        <v>0</v>
      </c>
      <c r="T121" s="637">
        <f t="shared" si="25"/>
        <v>0</v>
      </c>
      <c r="U121" s="638">
        <f t="shared" si="26"/>
        <v>0</v>
      </c>
      <c r="V121" s="638">
        <f t="shared" ca="1" si="27"/>
        <v>0</v>
      </c>
    </row>
    <row r="122" spans="1:22" x14ac:dyDescent="0.25">
      <c r="A122" t="s">
        <v>998</v>
      </c>
      <c r="B122" s="556">
        <v>3</v>
      </c>
      <c r="C122" t="s">
        <v>1501</v>
      </c>
      <c r="D122" t="s">
        <v>1533</v>
      </c>
      <c r="E122" s="556">
        <f ca="1">VLOOKUP(A122,Data!C:I,7,FALSE)</f>
        <v>0</v>
      </c>
      <c r="F122" s="636" t="str">
        <f t="shared" si="14"/>
        <v>PR.PT-43</v>
      </c>
      <c r="G122" s="636" t="str">
        <f t="shared" ca="1" si="15"/>
        <v>PR.PT-430</v>
      </c>
      <c r="I122" s="24"/>
      <c r="J122" s="24" t="s">
        <v>1593</v>
      </c>
      <c r="K122" s="637">
        <f t="shared" ca="1" si="16"/>
        <v>0</v>
      </c>
      <c r="L122" s="638">
        <f t="shared" si="17"/>
        <v>1</v>
      </c>
      <c r="M122" s="638">
        <f t="shared" ca="1" si="18"/>
        <v>0</v>
      </c>
      <c r="N122" s="637">
        <f t="shared" si="19"/>
        <v>0</v>
      </c>
      <c r="O122" s="638">
        <f t="shared" si="20"/>
        <v>0</v>
      </c>
      <c r="P122" s="638">
        <f t="shared" ca="1" si="21"/>
        <v>0</v>
      </c>
      <c r="Q122" s="637">
        <f t="shared" ca="1" si="22"/>
        <v>0</v>
      </c>
      <c r="R122" s="638">
        <f t="shared" si="23"/>
        <v>1</v>
      </c>
      <c r="S122" s="638">
        <f t="shared" ca="1" si="24"/>
        <v>0</v>
      </c>
      <c r="T122" s="637">
        <f t="shared" si="25"/>
        <v>0</v>
      </c>
      <c r="U122" s="638">
        <f t="shared" si="26"/>
        <v>0</v>
      </c>
      <c r="V122" s="638">
        <f t="shared" ca="1" si="27"/>
        <v>0</v>
      </c>
    </row>
    <row r="123" spans="1:22" x14ac:dyDescent="0.25">
      <c r="A123" t="s">
        <v>999</v>
      </c>
      <c r="B123" s="556">
        <v>3</v>
      </c>
      <c r="C123" t="s">
        <v>1501</v>
      </c>
      <c r="D123" t="s">
        <v>1532</v>
      </c>
      <c r="E123" s="556">
        <f ca="1">VLOOKUP(A123,Data!C:I,7,FALSE)</f>
        <v>0</v>
      </c>
      <c r="F123" s="636" t="str">
        <f t="shared" si="14"/>
        <v>PR.AC-53</v>
      </c>
      <c r="G123" s="636" t="str">
        <f t="shared" ca="1" si="15"/>
        <v>PR.AC-530</v>
      </c>
      <c r="I123" s="24"/>
      <c r="J123" s="24" t="s">
        <v>1589</v>
      </c>
      <c r="K123" s="637">
        <f t="shared" ca="1" si="16"/>
        <v>0</v>
      </c>
      <c r="L123" s="638">
        <f t="shared" si="17"/>
        <v>4</v>
      </c>
      <c r="M123" s="638">
        <f t="shared" ca="1" si="18"/>
        <v>0</v>
      </c>
      <c r="N123" s="637">
        <f t="shared" si="19"/>
        <v>0</v>
      </c>
      <c r="O123" s="638">
        <f t="shared" si="20"/>
        <v>0</v>
      </c>
      <c r="P123" s="638">
        <f t="shared" ca="1" si="21"/>
        <v>0</v>
      </c>
      <c r="Q123" s="637">
        <f t="shared" ca="1" si="22"/>
        <v>0</v>
      </c>
      <c r="R123" s="638">
        <f t="shared" si="23"/>
        <v>3</v>
      </c>
      <c r="S123" s="638">
        <f t="shared" ca="1" si="24"/>
        <v>0</v>
      </c>
      <c r="T123" s="637">
        <f t="shared" ca="1" si="25"/>
        <v>0</v>
      </c>
      <c r="U123" s="638">
        <f t="shared" si="26"/>
        <v>1</v>
      </c>
      <c r="V123" s="638">
        <f t="shared" ca="1" si="27"/>
        <v>0</v>
      </c>
    </row>
    <row r="124" spans="1:22" x14ac:dyDescent="0.25">
      <c r="A124" t="s">
        <v>999</v>
      </c>
      <c r="B124" s="556">
        <v>3</v>
      </c>
      <c r="C124" t="s">
        <v>1501</v>
      </c>
      <c r="D124" t="s">
        <v>1533</v>
      </c>
      <c r="E124" s="556">
        <f ca="1">VLOOKUP(A124,Data!C:I,7,FALSE)</f>
        <v>0</v>
      </c>
      <c r="F124" s="636" t="str">
        <f t="shared" si="14"/>
        <v>PR.PT-43</v>
      </c>
      <c r="G124" s="636" t="str">
        <f t="shared" ca="1" si="15"/>
        <v>PR.PT-430</v>
      </c>
    </row>
    <row r="125" spans="1:22" x14ac:dyDescent="0.25">
      <c r="A125" t="s">
        <v>1000</v>
      </c>
      <c r="B125" s="556">
        <v>3</v>
      </c>
      <c r="C125" t="s">
        <v>1501</v>
      </c>
      <c r="D125" t="s">
        <v>1532</v>
      </c>
      <c r="E125" s="556">
        <f ca="1">VLOOKUP(A125,Data!C:I,7,FALSE)</f>
        <v>0</v>
      </c>
      <c r="F125" s="636" t="str">
        <f t="shared" si="14"/>
        <v>PR.AC-53</v>
      </c>
      <c r="G125" s="636" t="str">
        <f t="shared" ca="1" si="15"/>
        <v>PR.AC-530</v>
      </c>
    </row>
    <row r="126" spans="1:22" x14ac:dyDescent="0.25">
      <c r="A126" t="s">
        <v>1000</v>
      </c>
      <c r="B126" s="556">
        <v>3</v>
      </c>
      <c r="C126" t="s">
        <v>1501</v>
      </c>
      <c r="D126" t="s">
        <v>1533</v>
      </c>
      <c r="E126" s="556">
        <f ca="1">VLOOKUP(A126,Data!C:I,7,FALSE)</f>
        <v>0</v>
      </c>
      <c r="F126" s="636" t="str">
        <f t="shared" si="14"/>
        <v>PR.PT-43</v>
      </c>
      <c r="G126" s="636" t="str">
        <f t="shared" ca="1" si="15"/>
        <v>PR.PT-430</v>
      </c>
    </row>
    <row r="127" spans="1:22" x14ac:dyDescent="0.25">
      <c r="A127" t="s">
        <v>1001</v>
      </c>
      <c r="B127" s="556">
        <v>3</v>
      </c>
      <c r="C127" t="s">
        <v>1501</v>
      </c>
      <c r="D127" t="s">
        <v>1532</v>
      </c>
      <c r="E127" s="556">
        <f ca="1">VLOOKUP(A127,Data!C:I,7,FALSE)</f>
        <v>0</v>
      </c>
      <c r="F127" s="636" t="str">
        <f t="shared" si="14"/>
        <v>PR.AC-53</v>
      </c>
      <c r="G127" s="636" t="str">
        <f t="shared" ca="1" si="15"/>
        <v>PR.AC-530</v>
      </c>
    </row>
    <row r="128" spans="1:22" x14ac:dyDescent="0.25">
      <c r="A128" t="s">
        <v>1001</v>
      </c>
      <c r="B128" s="556">
        <v>3</v>
      </c>
      <c r="C128" t="s">
        <v>1501</v>
      </c>
      <c r="D128" t="s">
        <v>1533</v>
      </c>
      <c r="E128" s="556">
        <f ca="1">VLOOKUP(A128,Data!C:I,7,FALSE)</f>
        <v>0</v>
      </c>
      <c r="F128" s="636" t="str">
        <f t="shared" si="14"/>
        <v>PR.PT-43</v>
      </c>
      <c r="G128" s="636" t="str">
        <f t="shared" ca="1" si="15"/>
        <v>PR.PT-430</v>
      </c>
    </row>
    <row r="129" spans="1:7" x14ac:dyDescent="0.25">
      <c r="A129" t="s">
        <v>1001</v>
      </c>
      <c r="B129" s="556">
        <v>3</v>
      </c>
      <c r="C129" t="s">
        <v>1501</v>
      </c>
      <c r="D129" t="s">
        <v>1536</v>
      </c>
      <c r="E129" s="556">
        <f ca="1">VLOOKUP(A129,Data!C:I,7,FALSE)</f>
        <v>0</v>
      </c>
      <c r="F129" s="636" t="str">
        <f t="shared" si="14"/>
        <v>PR.PT-53</v>
      </c>
      <c r="G129" s="636" t="str">
        <f t="shared" ca="1" si="15"/>
        <v>PR.PT-530</v>
      </c>
    </row>
    <row r="130" spans="1:7" x14ac:dyDescent="0.25">
      <c r="A130" t="s">
        <v>315</v>
      </c>
      <c r="B130" s="556">
        <v>1</v>
      </c>
      <c r="C130" t="s">
        <v>1501</v>
      </c>
      <c r="D130" t="s">
        <v>1515</v>
      </c>
      <c r="E130" s="556">
        <f ca="1">VLOOKUP(A130,Data!C:I,7,FALSE)</f>
        <v>0</v>
      </c>
      <c r="F130" s="636" t="str">
        <f t="shared" si="14"/>
        <v>PR.AC-11</v>
      </c>
      <c r="G130" s="636" t="str">
        <f t="shared" ca="1" si="15"/>
        <v>PR.AC-110</v>
      </c>
    </row>
    <row r="131" spans="1:7" x14ac:dyDescent="0.25">
      <c r="A131" t="s">
        <v>315</v>
      </c>
      <c r="B131" s="556">
        <v>1</v>
      </c>
      <c r="C131" t="s">
        <v>1501</v>
      </c>
      <c r="D131" t="s">
        <v>1526</v>
      </c>
      <c r="E131" s="556">
        <f ca="1">VLOOKUP(A131,Data!C:I,7,FALSE)</f>
        <v>0</v>
      </c>
      <c r="F131" s="636" t="str">
        <f t="shared" ref="F131:F194" si="28">CONCATENATE($D131,$B131)</f>
        <v>PR.AC-21</v>
      </c>
      <c r="G131" s="636" t="str">
        <f t="shared" ref="G131:G194" ca="1" si="29">_xlfn.IFNA(CONCATENATE(F131,$E131),CONCATENATE(F131,$E131,0))</f>
        <v>PR.AC-210</v>
      </c>
    </row>
    <row r="132" spans="1:7" x14ac:dyDescent="0.25">
      <c r="A132" t="s">
        <v>316</v>
      </c>
      <c r="B132" s="556">
        <v>2</v>
      </c>
      <c r="C132" t="s">
        <v>1501</v>
      </c>
      <c r="D132" t="s">
        <v>1515</v>
      </c>
      <c r="E132" s="556">
        <f ca="1">VLOOKUP(A132,Data!C:I,7,FALSE)</f>
        <v>0</v>
      </c>
      <c r="F132" s="636" t="str">
        <f t="shared" si="28"/>
        <v>PR.AC-12</v>
      </c>
      <c r="G132" s="636" t="str">
        <f t="shared" ca="1" si="29"/>
        <v>PR.AC-120</v>
      </c>
    </row>
    <row r="133" spans="1:7" x14ac:dyDescent="0.25">
      <c r="A133" t="s">
        <v>316</v>
      </c>
      <c r="B133" s="556">
        <v>2</v>
      </c>
      <c r="C133" t="s">
        <v>1501</v>
      </c>
      <c r="D133" t="s">
        <v>1526</v>
      </c>
      <c r="E133" s="556">
        <f ca="1">VLOOKUP(A133,Data!C:I,7,FALSE)</f>
        <v>0</v>
      </c>
      <c r="F133" s="636" t="str">
        <f t="shared" si="28"/>
        <v>PR.AC-22</v>
      </c>
      <c r="G133" s="636" t="str">
        <f t="shared" ca="1" si="29"/>
        <v>PR.AC-220</v>
      </c>
    </row>
    <row r="134" spans="1:7" x14ac:dyDescent="0.25">
      <c r="A134" t="s">
        <v>316</v>
      </c>
      <c r="B134" s="556">
        <v>2</v>
      </c>
      <c r="C134" t="s">
        <v>1501</v>
      </c>
      <c r="D134" t="s">
        <v>1517</v>
      </c>
      <c r="E134" s="556">
        <f ca="1">VLOOKUP(A134,Data!C:I,7,FALSE)</f>
        <v>0</v>
      </c>
      <c r="F134" s="636" t="str">
        <f t="shared" si="28"/>
        <v>PR.AC-72</v>
      </c>
      <c r="G134" s="636" t="str">
        <f t="shared" ca="1" si="29"/>
        <v>PR.AC-720</v>
      </c>
    </row>
    <row r="135" spans="1:7" x14ac:dyDescent="0.25">
      <c r="A135" t="s">
        <v>317</v>
      </c>
      <c r="B135" s="556">
        <v>2</v>
      </c>
      <c r="C135" t="s">
        <v>1501</v>
      </c>
      <c r="D135" t="s">
        <v>1522</v>
      </c>
      <c r="E135" s="556">
        <f ca="1">VLOOKUP(A135,Data!C:I,7,FALSE)</f>
        <v>0</v>
      </c>
      <c r="F135" s="636" t="str">
        <f t="shared" si="28"/>
        <v>PR.AC-42</v>
      </c>
      <c r="G135" s="636" t="str">
        <f t="shared" ca="1" si="29"/>
        <v>PR.AC-420</v>
      </c>
    </row>
    <row r="136" spans="1:7" x14ac:dyDescent="0.25">
      <c r="A136" t="s">
        <v>317</v>
      </c>
      <c r="B136" s="556">
        <v>2</v>
      </c>
      <c r="C136" t="s">
        <v>1501</v>
      </c>
      <c r="D136" t="s">
        <v>1517</v>
      </c>
      <c r="E136" s="556">
        <f ca="1">VLOOKUP(A136,Data!C:I,7,FALSE)</f>
        <v>0</v>
      </c>
      <c r="F136" s="636" t="str">
        <f t="shared" si="28"/>
        <v>PR.AC-72</v>
      </c>
      <c r="G136" s="636" t="str">
        <f t="shared" ca="1" si="29"/>
        <v>PR.AC-720</v>
      </c>
    </row>
    <row r="137" spans="1:7" x14ac:dyDescent="0.25">
      <c r="A137" t="s">
        <v>318</v>
      </c>
      <c r="B137" s="556">
        <v>2</v>
      </c>
      <c r="C137" t="s">
        <v>1501</v>
      </c>
      <c r="D137" t="s">
        <v>1520</v>
      </c>
      <c r="E137" s="556">
        <f ca="1">VLOOKUP(A137,Data!C:I,7,FALSE)</f>
        <v>0</v>
      </c>
      <c r="F137" s="636" t="str">
        <f t="shared" si="28"/>
        <v>PR.PT-32</v>
      </c>
      <c r="G137" s="636" t="str">
        <f t="shared" ca="1" si="29"/>
        <v>PR.PT-320</v>
      </c>
    </row>
    <row r="138" spans="1:7" x14ac:dyDescent="0.25">
      <c r="A138" t="s">
        <v>1002</v>
      </c>
      <c r="B138" s="556">
        <v>2</v>
      </c>
      <c r="C138" t="s">
        <v>1501</v>
      </c>
      <c r="D138" t="s">
        <v>1538</v>
      </c>
      <c r="E138" s="556">
        <f ca="1">VLOOKUP(A138,Data!C:I,7,FALSE)</f>
        <v>0</v>
      </c>
      <c r="F138" s="636" t="str">
        <f t="shared" si="28"/>
        <v>PR.DS-62</v>
      </c>
      <c r="G138" s="636" t="str">
        <f t="shared" ca="1" si="29"/>
        <v>PR.DS-620</v>
      </c>
    </row>
    <row r="139" spans="1:7" x14ac:dyDescent="0.25">
      <c r="A139" t="s">
        <v>1002</v>
      </c>
      <c r="B139" s="556">
        <v>2</v>
      </c>
      <c r="C139" t="s">
        <v>1501</v>
      </c>
      <c r="D139" t="s">
        <v>1539</v>
      </c>
      <c r="E139" s="556">
        <f ca="1">VLOOKUP(A139,Data!C:I,7,FALSE)</f>
        <v>0</v>
      </c>
      <c r="F139" s="636" t="str">
        <f t="shared" si="28"/>
        <v>PR.DS-82</v>
      </c>
      <c r="G139" s="636" t="str">
        <f t="shared" ca="1" si="29"/>
        <v>PR.DS-820</v>
      </c>
    </row>
    <row r="140" spans="1:7" x14ac:dyDescent="0.25">
      <c r="A140" t="s">
        <v>1003</v>
      </c>
      <c r="B140" s="556">
        <v>2</v>
      </c>
      <c r="C140" t="s">
        <v>1501</v>
      </c>
      <c r="D140" t="s">
        <v>1535</v>
      </c>
      <c r="E140" s="556">
        <f ca="1">VLOOKUP(A140,Data!C:I,7,FALSE)</f>
        <v>0</v>
      </c>
      <c r="F140" s="636" t="str">
        <f t="shared" si="28"/>
        <v>PR.DS-52</v>
      </c>
      <c r="G140" s="636" t="str">
        <f t="shared" ca="1" si="29"/>
        <v>PR.DS-520</v>
      </c>
    </row>
    <row r="141" spans="1:7" x14ac:dyDescent="0.25">
      <c r="A141" t="s">
        <v>1004</v>
      </c>
      <c r="B141" s="556">
        <v>2</v>
      </c>
      <c r="C141" t="s">
        <v>1501</v>
      </c>
      <c r="D141" t="s">
        <v>1519</v>
      </c>
      <c r="E141" s="556">
        <f ca="1">VLOOKUP(A141,Data!C:I,7,FALSE)</f>
        <v>0</v>
      </c>
      <c r="F141" s="636" t="str">
        <f t="shared" si="28"/>
        <v>PR.PT-22</v>
      </c>
      <c r="G141" s="636" t="str">
        <f t="shared" ca="1" si="29"/>
        <v>PR.PT-220</v>
      </c>
    </row>
    <row r="142" spans="1:7" x14ac:dyDescent="0.25">
      <c r="A142" t="s">
        <v>1005</v>
      </c>
      <c r="B142" s="556">
        <v>2</v>
      </c>
      <c r="C142" t="s">
        <v>1501</v>
      </c>
      <c r="D142" t="s">
        <v>1515</v>
      </c>
      <c r="E142" s="556">
        <f ca="1">VLOOKUP(A142,Data!C:I,7,FALSE)</f>
        <v>0</v>
      </c>
      <c r="F142" s="636" t="str">
        <f t="shared" si="28"/>
        <v>PR.AC-12</v>
      </c>
      <c r="G142" s="636" t="str">
        <f t="shared" ca="1" si="29"/>
        <v>PR.AC-120</v>
      </c>
    </row>
    <row r="143" spans="1:7" x14ac:dyDescent="0.25">
      <c r="A143" t="s">
        <v>1005</v>
      </c>
      <c r="B143" s="556">
        <v>2</v>
      </c>
      <c r="C143" t="s">
        <v>1501</v>
      </c>
      <c r="D143" t="s">
        <v>1526</v>
      </c>
      <c r="E143" s="556">
        <f ca="1">VLOOKUP(A143,Data!C:I,7,FALSE)</f>
        <v>0</v>
      </c>
      <c r="F143" s="636" t="str">
        <f t="shared" si="28"/>
        <v>PR.AC-22</v>
      </c>
      <c r="G143" s="636" t="str">
        <f t="shared" ca="1" si="29"/>
        <v>PR.AC-220</v>
      </c>
    </row>
    <row r="144" spans="1:7" x14ac:dyDescent="0.25">
      <c r="A144" t="s">
        <v>1006</v>
      </c>
      <c r="B144" s="556">
        <v>3</v>
      </c>
      <c r="C144" t="s">
        <v>1501</v>
      </c>
      <c r="D144" t="s">
        <v>1540</v>
      </c>
      <c r="E144" s="556">
        <f ca="1">VLOOKUP(A144,Data!C:I,7,FALSE)</f>
        <v>0</v>
      </c>
      <c r="F144" s="636" t="str">
        <f t="shared" si="28"/>
        <v>PR.DS-33</v>
      </c>
      <c r="G144" s="636" t="str">
        <f t="shared" ca="1" si="29"/>
        <v>PR.DS-330</v>
      </c>
    </row>
    <row r="145" spans="1:7" x14ac:dyDescent="0.25">
      <c r="A145" t="s">
        <v>1006</v>
      </c>
      <c r="B145" s="556">
        <v>3</v>
      </c>
      <c r="C145" t="s">
        <v>1501</v>
      </c>
      <c r="D145" t="s">
        <v>1539</v>
      </c>
      <c r="E145" s="556">
        <f ca="1">VLOOKUP(A145,Data!C:I,7,FALSE)</f>
        <v>0</v>
      </c>
      <c r="F145" s="636" t="str">
        <f t="shared" si="28"/>
        <v>PR.DS-83</v>
      </c>
      <c r="G145" s="636" t="str">
        <f t="shared" ca="1" si="29"/>
        <v>PR.DS-830</v>
      </c>
    </row>
    <row r="146" spans="1:7" x14ac:dyDescent="0.25">
      <c r="A146" t="s">
        <v>1007</v>
      </c>
      <c r="B146" s="556">
        <v>3</v>
      </c>
      <c r="C146" t="s">
        <v>1501</v>
      </c>
      <c r="D146" t="s">
        <v>1539</v>
      </c>
      <c r="E146" s="556">
        <f ca="1">VLOOKUP(A146,Data!C:I,7,FALSE)</f>
        <v>0</v>
      </c>
      <c r="F146" s="636" t="str">
        <f t="shared" si="28"/>
        <v>PR.DS-83</v>
      </c>
      <c r="G146" s="636" t="str">
        <f t="shared" ca="1" si="29"/>
        <v>PR.DS-830</v>
      </c>
    </row>
    <row r="147" spans="1:7" x14ac:dyDescent="0.25">
      <c r="A147" t="s">
        <v>319</v>
      </c>
      <c r="B147" s="556">
        <v>2</v>
      </c>
      <c r="C147" t="s">
        <v>1502</v>
      </c>
      <c r="D147" t="s">
        <v>1541</v>
      </c>
      <c r="E147" s="556">
        <f ca="1">VLOOKUP(A147,Data!C:I,7,FALSE)</f>
        <v>0</v>
      </c>
      <c r="F147" s="636" t="str">
        <f t="shared" si="28"/>
        <v>DE.CM-42</v>
      </c>
      <c r="G147" s="636" t="str">
        <f t="shared" ca="1" si="29"/>
        <v>DE.CM-420</v>
      </c>
    </row>
    <row r="148" spans="1:7" x14ac:dyDescent="0.25">
      <c r="A148" t="s">
        <v>319</v>
      </c>
      <c r="B148" s="556">
        <v>2</v>
      </c>
      <c r="C148" t="s">
        <v>1501</v>
      </c>
      <c r="D148" t="s">
        <v>1542</v>
      </c>
      <c r="E148" s="556">
        <f ca="1">VLOOKUP(A148,Data!C:I,7,FALSE)</f>
        <v>0</v>
      </c>
      <c r="F148" s="636" t="str">
        <f t="shared" si="28"/>
        <v>PR.DS-72</v>
      </c>
      <c r="G148" s="636" t="str">
        <f t="shared" ca="1" si="29"/>
        <v>PR.DS-720</v>
      </c>
    </row>
    <row r="149" spans="1:7" x14ac:dyDescent="0.25">
      <c r="A149" t="s">
        <v>320</v>
      </c>
      <c r="B149" s="556">
        <v>2</v>
      </c>
      <c r="C149" t="s">
        <v>446</v>
      </c>
      <c r="D149" t="s">
        <v>1543</v>
      </c>
      <c r="E149" s="556">
        <f ca="1">VLOOKUP(A149,Data!C:I,7,FALSE)</f>
        <v>0</v>
      </c>
      <c r="F149" s="636" t="str">
        <f t="shared" si="28"/>
        <v>ID.SC-22</v>
      </c>
      <c r="G149" s="636" t="str">
        <f t="shared" ca="1" si="29"/>
        <v>ID.SC-220</v>
      </c>
    </row>
    <row r="150" spans="1:7" x14ac:dyDescent="0.25">
      <c r="A150" t="s">
        <v>321</v>
      </c>
      <c r="B150" s="556">
        <v>2</v>
      </c>
      <c r="C150" t="s">
        <v>1501</v>
      </c>
      <c r="D150" t="s">
        <v>1538</v>
      </c>
      <c r="E150" s="556">
        <f ca="1">VLOOKUP(A150,Data!C:I,7,FALSE)</f>
        <v>0</v>
      </c>
      <c r="F150" s="636" t="str">
        <f t="shared" si="28"/>
        <v>PR.DS-62</v>
      </c>
      <c r="G150" s="636" t="str">
        <f t="shared" ca="1" si="29"/>
        <v>PR.DS-620</v>
      </c>
    </row>
    <row r="151" spans="1:7" x14ac:dyDescent="0.25">
      <c r="A151" t="s">
        <v>322</v>
      </c>
      <c r="B151" s="556">
        <v>3</v>
      </c>
      <c r="C151" t="s">
        <v>1501</v>
      </c>
      <c r="D151" t="s">
        <v>1542</v>
      </c>
      <c r="E151" s="556">
        <f ca="1">VLOOKUP(A151,Data!C:I,7,FALSE)</f>
        <v>0</v>
      </c>
      <c r="F151" s="636" t="str">
        <f t="shared" si="28"/>
        <v>PR.DS-73</v>
      </c>
      <c r="G151" s="636" t="str">
        <f t="shared" ca="1" si="29"/>
        <v>PR.DS-730</v>
      </c>
    </row>
    <row r="152" spans="1:7" x14ac:dyDescent="0.25">
      <c r="A152" t="s">
        <v>323</v>
      </c>
      <c r="B152" s="556">
        <v>3</v>
      </c>
      <c r="C152" t="s">
        <v>446</v>
      </c>
      <c r="D152" t="s">
        <v>1543</v>
      </c>
      <c r="E152" s="556">
        <f ca="1">VLOOKUP(A152,Data!C:I,7,FALSE)</f>
        <v>0</v>
      </c>
      <c r="F152" s="636" t="str">
        <f t="shared" si="28"/>
        <v>ID.SC-23</v>
      </c>
      <c r="G152" s="636" t="str">
        <f t="shared" ca="1" si="29"/>
        <v>ID.SC-230</v>
      </c>
    </row>
    <row r="153" spans="1:7" x14ac:dyDescent="0.25">
      <c r="A153" t="s">
        <v>324</v>
      </c>
      <c r="B153" s="556">
        <v>3</v>
      </c>
      <c r="C153" t="s">
        <v>1501</v>
      </c>
      <c r="D153" t="s">
        <v>1538</v>
      </c>
      <c r="E153" s="556">
        <f ca="1">VLOOKUP(A153,Data!C:I,7,FALSE)</f>
        <v>0</v>
      </c>
      <c r="F153" s="636" t="str">
        <f t="shared" si="28"/>
        <v>PR.DS-63</v>
      </c>
      <c r="G153" s="636" t="str">
        <f t="shared" ca="1" si="29"/>
        <v>PR.DS-630</v>
      </c>
    </row>
    <row r="154" spans="1:7" x14ac:dyDescent="0.25">
      <c r="A154" t="s">
        <v>324</v>
      </c>
      <c r="B154" s="556">
        <v>3</v>
      </c>
      <c r="C154" t="s">
        <v>1501</v>
      </c>
      <c r="D154" t="s">
        <v>1544</v>
      </c>
      <c r="E154" s="556">
        <f ca="1">VLOOKUP(A154,Data!C:I,7,FALSE)</f>
        <v>0</v>
      </c>
      <c r="F154" s="636" t="str">
        <f t="shared" si="28"/>
        <v>PR.IP-33</v>
      </c>
      <c r="G154" s="636" t="str">
        <f t="shared" ca="1" si="29"/>
        <v>PR.IP-330</v>
      </c>
    </row>
    <row r="155" spans="1:7" x14ac:dyDescent="0.25">
      <c r="A155" t="s">
        <v>325</v>
      </c>
      <c r="B155" s="556">
        <v>3</v>
      </c>
      <c r="C155" t="s">
        <v>1502</v>
      </c>
      <c r="D155" t="s">
        <v>1541</v>
      </c>
      <c r="E155" s="556">
        <f ca="1">VLOOKUP(A155,Data!C:I,7,FALSE)</f>
        <v>0</v>
      </c>
      <c r="F155" s="636" t="str">
        <f t="shared" si="28"/>
        <v>DE.CM-43</v>
      </c>
      <c r="G155" s="636" t="str">
        <f t="shared" ca="1" si="29"/>
        <v>DE.CM-430</v>
      </c>
    </row>
    <row r="156" spans="1:7" x14ac:dyDescent="0.25">
      <c r="A156" t="s">
        <v>325</v>
      </c>
      <c r="B156" s="556">
        <v>3</v>
      </c>
      <c r="C156" t="s">
        <v>1502</v>
      </c>
      <c r="D156" t="s">
        <v>1545</v>
      </c>
      <c r="E156" s="556">
        <f ca="1">VLOOKUP(A156,Data!C:I,7,FALSE)</f>
        <v>0</v>
      </c>
      <c r="F156" s="636" t="str">
        <f t="shared" si="28"/>
        <v>DE.CM-53</v>
      </c>
      <c r="G156" s="636" t="str">
        <f t="shared" ca="1" si="29"/>
        <v>DE.CM-530</v>
      </c>
    </row>
    <row r="157" spans="1:7" x14ac:dyDescent="0.25">
      <c r="A157" t="s">
        <v>325</v>
      </c>
      <c r="B157" s="556">
        <v>3</v>
      </c>
      <c r="C157" t="s">
        <v>1501</v>
      </c>
      <c r="D157" t="s">
        <v>1538</v>
      </c>
      <c r="E157" s="556">
        <f ca="1">VLOOKUP(A157,Data!C:I,7,FALSE)</f>
        <v>0</v>
      </c>
      <c r="F157" s="636" t="str">
        <f t="shared" si="28"/>
        <v>PR.DS-63</v>
      </c>
      <c r="G157" s="636" t="str">
        <f t="shared" ca="1" si="29"/>
        <v>PR.DS-630</v>
      </c>
    </row>
    <row r="158" spans="1:7" x14ac:dyDescent="0.25">
      <c r="A158" t="s">
        <v>325</v>
      </c>
      <c r="B158" s="556">
        <v>3</v>
      </c>
      <c r="C158" t="s">
        <v>1501</v>
      </c>
      <c r="D158" t="s">
        <v>1539</v>
      </c>
      <c r="E158" s="556">
        <f ca="1">VLOOKUP(A158,Data!C:I,7,FALSE)</f>
        <v>0</v>
      </c>
      <c r="F158" s="636" t="str">
        <f t="shared" si="28"/>
        <v>PR.DS-83</v>
      </c>
      <c r="G158" s="636" t="str">
        <f t="shared" ca="1" si="29"/>
        <v>PR.DS-830</v>
      </c>
    </row>
    <row r="159" spans="1:7" x14ac:dyDescent="0.25">
      <c r="A159" t="s">
        <v>326</v>
      </c>
      <c r="B159" s="556">
        <v>3</v>
      </c>
      <c r="C159" t="s">
        <v>1502</v>
      </c>
      <c r="D159" t="s">
        <v>1541</v>
      </c>
      <c r="E159" s="556">
        <f ca="1">VLOOKUP(A159,Data!C:I,7,FALSE)</f>
        <v>0</v>
      </c>
      <c r="F159" s="636" t="str">
        <f t="shared" si="28"/>
        <v>DE.CM-43</v>
      </c>
      <c r="G159" s="636" t="str">
        <f t="shared" ca="1" si="29"/>
        <v>DE.CM-430</v>
      </c>
    </row>
    <row r="160" spans="1:7" x14ac:dyDescent="0.25">
      <c r="A160" t="s">
        <v>326</v>
      </c>
      <c r="B160" s="556">
        <v>3</v>
      </c>
      <c r="C160" t="s">
        <v>1502</v>
      </c>
      <c r="D160" t="s">
        <v>1545</v>
      </c>
      <c r="E160" s="556">
        <f ca="1">VLOOKUP(A160,Data!C:I,7,FALSE)</f>
        <v>0</v>
      </c>
      <c r="F160" s="636" t="str">
        <f t="shared" si="28"/>
        <v>DE.CM-53</v>
      </c>
      <c r="G160" s="636" t="str">
        <f t="shared" ca="1" si="29"/>
        <v>DE.CM-530</v>
      </c>
    </row>
    <row r="161" spans="1:7" x14ac:dyDescent="0.25">
      <c r="A161" t="s">
        <v>329</v>
      </c>
      <c r="B161" s="556">
        <v>1</v>
      </c>
      <c r="C161" t="s">
        <v>1501</v>
      </c>
      <c r="D161" t="s">
        <v>1546</v>
      </c>
      <c r="E161" s="556">
        <f ca="1">VLOOKUP(A161,Data!C:I,7,FALSE)</f>
        <v>0</v>
      </c>
      <c r="F161" s="636" t="str">
        <f t="shared" si="28"/>
        <v>PR.DS-11</v>
      </c>
      <c r="G161" s="636" t="str">
        <f t="shared" ca="1" si="29"/>
        <v>PR.DS-110</v>
      </c>
    </row>
    <row r="162" spans="1:7" x14ac:dyDescent="0.25">
      <c r="A162" t="s">
        <v>329</v>
      </c>
      <c r="B162" s="556">
        <v>1</v>
      </c>
      <c r="C162" t="s">
        <v>1501</v>
      </c>
      <c r="D162" t="s">
        <v>1535</v>
      </c>
      <c r="E162" s="556">
        <f ca="1">VLOOKUP(A162,Data!C:I,7,FALSE)</f>
        <v>0</v>
      </c>
      <c r="F162" s="636" t="str">
        <f t="shared" si="28"/>
        <v>PR.DS-51</v>
      </c>
      <c r="G162" s="636" t="str">
        <f t="shared" ca="1" si="29"/>
        <v>PR.DS-510</v>
      </c>
    </row>
    <row r="163" spans="1:7" x14ac:dyDescent="0.25">
      <c r="A163" t="s">
        <v>330</v>
      </c>
      <c r="B163" s="556">
        <v>2</v>
      </c>
      <c r="C163" t="s">
        <v>1501</v>
      </c>
      <c r="D163" t="s">
        <v>1546</v>
      </c>
      <c r="E163" s="556">
        <f ca="1">VLOOKUP(A163,Data!C:I,7,FALSE)</f>
        <v>0</v>
      </c>
      <c r="F163" s="636" t="str">
        <f t="shared" si="28"/>
        <v>PR.DS-12</v>
      </c>
      <c r="G163" s="636" t="str">
        <f t="shared" ca="1" si="29"/>
        <v>PR.DS-120</v>
      </c>
    </row>
    <row r="164" spans="1:7" x14ac:dyDescent="0.25">
      <c r="A164" t="s">
        <v>330</v>
      </c>
      <c r="B164" s="556">
        <v>2</v>
      </c>
      <c r="C164" t="s">
        <v>1501</v>
      </c>
      <c r="D164" t="s">
        <v>1535</v>
      </c>
      <c r="E164" s="556">
        <f ca="1">VLOOKUP(A164,Data!C:I,7,FALSE)</f>
        <v>0</v>
      </c>
      <c r="F164" s="636" t="str">
        <f t="shared" si="28"/>
        <v>PR.DS-52</v>
      </c>
      <c r="G164" s="636" t="str">
        <f t="shared" ca="1" si="29"/>
        <v>PR.DS-520</v>
      </c>
    </row>
    <row r="165" spans="1:7" x14ac:dyDescent="0.25">
      <c r="A165" t="s">
        <v>331</v>
      </c>
      <c r="B165" s="556">
        <v>2</v>
      </c>
      <c r="C165" t="s">
        <v>1501</v>
      </c>
      <c r="D165" t="s">
        <v>1547</v>
      </c>
      <c r="E165" s="556">
        <f ca="1">VLOOKUP(A165,Data!C:I,7,FALSE)</f>
        <v>0</v>
      </c>
      <c r="F165" s="636" t="str">
        <f t="shared" si="28"/>
        <v>PR.DS-22</v>
      </c>
      <c r="G165" s="636" t="str">
        <f t="shared" ca="1" si="29"/>
        <v>PR.DS-220</v>
      </c>
    </row>
    <row r="166" spans="1:7" x14ac:dyDescent="0.25">
      <c r="A166" t="s">
        <v>331</v>
      </c>
      <c r="B166" s="556">
        <v>2</v>
      </c>
      <c r="C166" t="s">
        <v>1501</v>
      </c>
      <c r="D166" t="s">
        <v>1535</v>
      </c>
      <c r="E166" s="556">
        <f ca="1">VLOOKUP(A166,Data!C:I,7,FALSE)</f>
        <v>0</v>
      </c>
      <c r="F166" s="636" t="str">
        <f t="shared" si="28"/>
        <v>PR.DS-52</v>
      </c>
      <c r="G166" s="636" t="str">
        <f t="shared" ca="1" si="29"/>
        <v>PR.DS-520</v>
      </c>
    </row>
    <row r="167" spans="1:7" x14ac:dyDescent="0.25">
      <c r="A167" t="s">
        <v>332</v>
      </c>
      <c r="B167" s="556">
        <v>2</v>
      </c>
      <c r="C167" t="s">
        <v>1501</v>
      </c>
      <c r="D167" t="s">
        <v>1546</v>
      </c>
      <c r="E167" s="556">
        <f ca="1">VLOOKUP(A167,Data!C:I,7,FALSE)</f>
        <v>0</v>
      </c>
      <c r="F167" s="636" t="str">
        <f t="shared" si="28"/>
        <v>PR.DS-12</v>
      </c>
      <c r="G167" s="636" t="str">
        <f t="shared" ca="1" si="29"/>
        <v>PR.DS-120</v>
      </c>
    </row>
    <row r="168" spans="1:7" x14ac:dyDescent="0.25">
      <c r="A168" t="s">
        <v>332</v>
      </c>
      <c r="B168" s="556">
        <v>2</v>
      </c>
      <c r="C168" t="s">
        <v>1501</v>
      </c>
      <c r="D168" t="s">
        <v>1547</v>
      </c>
      <c r="E168" s="556">
        <f ca="1">VLOOKUP(A168,Data!C:I,7,FALSE)</f>
        <v>0</v>
      </c>
      <c r="F168" s="636" t="str">
        <f t="shared" si="28"/>
        <v>PR.DS-22</v>
      </c>
      <c r="G168" s="636" t="str">
        <f t="shared" ca="1" si="29"/>
        <v>PR.DS-220</v>
      </c>
    </row>
    <row r="169" spans="1:7" x14ac:dyDescent="0.25">
      <c r="A169" t="s">
        <v>332</v>
      </c>
      <c r="B169" s="556">
        <v>2</v>
      </c>
      <c r="C169" t="s">
        <v>1501</v>
      </c>
      <c r="D169" t="s">
        <v>1535</v>
      </c>
      <c r="E169" s="556">
        <f ca="1">VLOOKUP(A169,Data!C:I,7,FALSE)</f>
        <v>0</v>
      </c>
      <c r="F169" s="636" t="str">
        <f t="shared" si="28"/>
        <v>PR.DS-52</v>
      </c>
      <c r="G169" s="636" t="str">
        <f t="shared" ca="1" si="29"/>
        <v>PR.DS-520</v>
      </c>
    </row>
    <row r="170" spans="1:7" x14ac:dyDescent="0.25">
      <c r="A170" t="s">
        <v>333</v>
      </c>
      <c r="B170" s="556">
        <v>2</v>
      </c>
      <c r="C170" t="s">
        <v>1501</v>
      </c>
      <c r="D170" t="s">
        <v>1546</v>
      </c>
      <c r="E170" s="556">
        <f ca="1">VLOOKUP(A170,Data!C:I,7,FALSE)</f>
        <v>0</v>
      </c>
      <c r="F170" s="636" t="str">
        <f t="shared" si="28"/>
        <v>PR.DS-12</v>
      </c>
      <c r="G170" s="636" t="str">
        <f t="shared" ca="1" si="29"/>
        <v>PR.DS-120</v>
      </c>
    </row>
    <row r="171" spans="1:7" x14ac:dyDescent="0.25">
      <c r="A171" t="s">
        <v>333</v>
      </c>
      <c r="B171" s="556">
        <v>2</v>
      </c>
      <c r="C171" t="s">
        <v>1501</v>
      </c>
      <c r="D171" t="s">
        <v>1547</v>
      </c>
      <c r="E171" s="556">
        <f ca="1">VLOOKUP(A171,Data!C:I,7,FALSE)</f>
        <v>0</v>
      </c>
      <c r="F171" s="636" t="str">
        <f t="shared" si="28"/>
        <v>PR.DS-22</v>
      </c>
      <c r="G171" s="636" t="str">
        <f t="shared" ca="1" si="29"/>
        <v>PR.DS-220</v>
      </c>
    </row>
    <row r="172" spans="1:7" x14ac:dyDescent="0.25">
      <c r="A172" t="s">
        <v>333</v>
      </c>
      <c r="B172" s="556">
        <v>2</v>
      </c>
      <c r="C172" t="s">
        <v>1501</v>
      </c>
      <c r="D172" t="s">
        <v>1535</v>
      </c>
      <c r="E172" s="556">
        <f ca="1">VLOOKUP(A172,Data!C:I,7,FALSE)</f>
        <v>0</v>
      </c>
      <c r="F172" s="636" t="str">
        <f t="shared" si="28"/>
        <v>PR.DS-52</v>
      </c>
      <c r="G172" s="636" t="str">
        <f t="shared" ca="1" si="29"/>
        <v>PR.DS-520</v>
      </c>
    </row>
    <row r="173" spans="1:7" x14ac:dyDescent="0.25">
      <c r="A173" t="s">
        <v>334</v>
      </c>
      <c r="B173" s="556">
        <v>2</v>
      </c>
      <c r="C173" t="s">
        <v>1501</v>
      </c>
      <c r="D173" t="s">
        <v>1535</v>
      </c>
      <c r="E173" s="556">
        <f ca="1">VLOOKUP(A173,Data!C:I,7,FALSE)</f>
        <v>0</v>
      </c>
      <c r="F173" s="636" t="str">
        <f t="shared" si="28"/>
        <v>PR.DS-52</v>
      </c>
      <c r="G173" s="636" t="str">
        <f t="shared" ca="1" si="29"/>
        <v>PR.DS-520</v>
      </c>
    </row>
    <row r="174" spans="1:7" x14ac:dyDescent="0.25">
      <c r="A174" t="s">
        <v>335</v>
      </c>
      <c r="B174" s="556">
        <v>3</v>
      </c>
      <c r="C174" t="s">
        <v>1501</v>
      </c>
      <c r="D174" t="s">
        <v>1546</v>
      </c>
      <c r="E174" s="556">
        <f ca="1">VLOOKUP(A174,Data!C:I,7,FALSE)</f>
        <v>0</v>
      </c>
      <c r="F174" s="636" t="str">
        <f t="shared" si="28"/>
        <v>PR.DS-13</v>
      </c>
      <c r="G174" s="636" t="str">
        <f t="shared" ca="1" si="29"/>
        <v>PR.DS-130</v>
      </c>
    </row>
    <row r="175" spans="1:7" x14ac:dyDescent="0.25">
      <c r="A175" t="s">
        <v>335</v>
      </c>
      <c r="B175" s="556">
        <v>3</v>
      </c>
      <c r="C175" t="s">
        <v>1501</v>
      </c>
      <c r="D175" t="s">
        <v>1535</v>
      </c>
      <c r="E175" s="556">
        <f ca="1">VLOOKUP(A175,Data!C:I,7,FALSE)</f>
        <v>0</v>
      </c>
      <c r="F175" s="636" t="str">
        <f t="shared" si="28"/>
        <v>PR.DS-53</v>
      </c>
      <c r="G175" s="636" t="str">
        <f t="shared" ca="1" si="29"/>
        <v>PR.DS-530</v>
      </c>
    </row>
    <row r="176" spans="1:7" x14ac:dyDescent="0.25">
      <c r="A176" t="s">
        <v>1008</v>
      </c>
      <c r="B176" s="556">
        <v>3</v>
      </c>
      <c r="C176" t="s">
        <v>1501</v>
      </c>
      <c r="D176" t="s">
        <v>1538</v>
      </c>
      <c r="E176" s="556">
        <f ca="1">VLOOKUP(A176,Data!C:I,7,FALSE)</f>
        <v>0</v>
      </c>
      <c r="F176" s="636" t="str">
        <f t="shared" si="28"/>
        <v>PR.DS-63</v>
      </c>
      <c r="G176" s="636" t="str">
        <f t="shared" ca="1" si="29"/>
        <v>PR.DS-630</v>
      </c>
    </row>
    <row r="177" spans="1:7" x14ac:dyDescent="0.25">
      <c r="A177" t="s">
        <v>1013</v>
      </c>
      <c r="B177" s="556">
        <v>3</v>
      </c>
      <c r="C177" t="s">
        <v>446</v>
      </c>
      <c r="D177" t="s">
        <v>1529</v>
      </c>
      <c r="E177" s="556">
        <f ca="1">VLOOKUP(A177,Data!C:I,7,FALSE)</f>
        <v>0</v>
      </c>
      <c r="F177" s="636" t="str">
        <f t="shared" si="28"/>
        <v>ID.AM-63</v>
      </c>
      <c r="G177" s="636" t="str">
        <f t="shared" ca="1" si="29"/>
        <v>ID.AM-630</v>
      </c>
    </row>
    <row r="178" spans="1:7" x14ac:dyDescent="0.25">
      <c r="A178" t="s">
        <v>1013</v>
      </c>
      <c r="B178" s="556">
        <v>3</v>
      </c>
      <c r="C178" t="s">
        <v>446</v>
      </c>
      <c r="D178" t="s">
        <v>1530</v>
      </c>
      <c r="E178" s="556">
        <f ca="1">VLOOKUP(A178,Data!C:I,7,FALSE)</f>
        <v>0</v>
      </c>
      <c r="F178" s="636" t="str">
        <f t="shared" si="28"/>
        <v>ID.GV-23</v>
      </c>
      <c r="G178" s="636" t="str">
        <f t="shared" ca="1" si="29"/>
        <v>ID.GV-230</v>
      </c>
    </row>
    <row r="179" spans="1:7" x14ac:dyDescent="0.25">
      <c r="A179" t="s">
        <v>1014</v>
      </c>
      <c r="B179" s="556">
        <v>3</v>
      </c>
      <c r="C179" t="s">
        <v>1501</v>
      </c>
      <c r="D179" t="s">
        <v>1531</v>
      </c>
      <c r="E179" s="556">
        <f ca="1">VLOOKUP(A179,Data!C:I,7,FALSE)</f>
        <v>0</v>
      </c>
      <c r="F179" s="636" t="str">
        <f t="shared" si="28"/>
        <v>PR.IP-83</v>
      </c>
      <c r="G179" s="636" t="str">
        <f t="shared" ca="1" si="29"/>
        <v>PR.IP-830</v>
      </c>
    </row>
    <row r="180" spans="1:7" x14ac:dyDescent="0.25">
      <c r="A180" t="s">
        <v>86</v>
      </c>
      <c r="B180" s="556">
        <v>1</v>
      </c>
      <c r="C180" t="s">
        <v>446</v>
      </c>
      <c r="D180" t="s">
        <v>1548</v>
      </c>
      <c r="E180" s="556">
        <f ca="1">VLOOKUP(A180,Data!C:I,7,FALSE)</f>
        <v>0</v>
      </c>
      <c r="F180" s="636" t="str">
        <f t="shared" si="28"/>
        <v>ID.AM-11</v>
      </c>
      <c r="G180" s="636" t="str">
        <f t="shared" ca="1" si="29"/>
        <v>ID.AM-110</v>
      </c>
    </row>
    <row r="181" spans="1:7" x14ac:dyDescent="0.25">
      <c r="A181" t="s">
        <v>86</v>
      </c>
      <c r="B181" s="556">
        <v>1</v>
      </c>
      <c r="C181" t="s">
        <v>446</v>
      </c>
      <c r="D181" t="s">
        <v>1549</v>
      </c>
      <c r="E181" s="556">
        <f ca="1">VLOOKUP(A181,Data!C:I,7,FALSE)</f>
        <v>0</v>
      </c>
      <c r="F181" s="636" t="str">
        <f t="shared" si="28"/>
        <v>ID.AM-21</v>
      </c>
      <c r="G181" s="636" t="str">
        <f t="shared" ca="1" si="29"/>
        <v>ID.AM-210</v>
      </c>
    </row>
    <row r="182" spans="1:7" x14ac:dyDescent="0.25">
      <c r="A182" t="s">
        <v>86</v>
      </c>
      <c r="B182" s="556">
        <v>1</v>
      </c>
      <c r="C182" t="s">
        <v>446</v>
      </c>
      <c r="D182" t="s">
        <v>1550</v>
      </c>
      <c r="E182" s="556">
        <f ca="1">VLOOKUP(A182,Data!C:I,7,FALSE)</f>
        <v>0</v>
      </c>
      <c r="F182" s="636" t="str">
        <f t="shared" si="28"/>
        <v>ID.AM-51</v>
      </c>
      <c r="G182" s="636" t="str">
        <f t="shared" ca="1" si="29"/>
        <v>ID.AM-510</v>
      </c>
    </row>
    <row r="183" spans="1:7" x14ac:dyDescent="0.25">
      <c r="A183" t="s">
        <v>86</v>
      </c>
      <c r="B183" s="556">
        <v>1</v>
      </c>
      <c r="C183" t="s">
        <v>446</v>
      </c>
      <c r="D183" t="s">
        <v>1551</v>
      </c>
      <c r="E183" s="556">
        <f ca="1">VLOOKUP(A183,Data!C:I,7,FALSE)</f>
        <v>0</v>
      </c>
      <c r="F183" s="636" t="str">
        <f t="shared" si="28"/>
        <v>ID.BE-41</v>
      </c>
      <c r="G183" s="636" t="str">
        <f t="shared" ca="1" si="29"/>
        <v>ID.BE-410</v>
      </c>
    </row>
    <row r="184" spans="1:7" x14ac:dyDescent="0.25">
      <c r="A184" t="s">
        <v>88</v>
      </c>
      <c r="B184" s="556">
        <v>2</v>
      </c>
      <c r="C184" t="s">
        <v>446</v>
      </c>
      <c r="D184" t="s">
        <v>1548</v>
      </c>
      <c r="E184" s="556">
        <f ca="1">VLOOKUP(A184,Data!C:I,7,FALSE)</f>
        <v>0</v>
      </c>
      <c r="F184" s="636" t="str">
        <f t="shared" si="28"/>
        <v>ID.AM-12</v>
      </c>
      <c r="G184" s="636" t="str">
        <f t="shared" ca="1" si="29"/>
        <v>ID.AM-120</v>
      </c>
    </row>
    <row r="185" spans="1:7" x14ac:dyDescent="0.25">
      <c r="A185" t="s">
        <v>88</v>
      </c>
      <c r="B185" s="556">
        <v>2</v>
      </c>
      <c r="C185" t="s">
        <v>446</v>
      </c>
      <c r="D185" t="s">
        <v>1549</v>
      </c>
      <c r="E185" s="556">
        <f ca="1">VLOOKUP(A185,Data!C:I,7,FALSE)</f>
        <v>0</v>
      </c>
      <c r="F185" s="636" t="str">
        <f t="shared" si="28"/>
        <v>ID.AM-22</v>
      </c>
      <c r="G185" s="636" t="str">
        <f t="shared" ca="1" si="29"/>
        <v>ID.AM-220</v>
      </c>
    </row>
    <row r="186" spans="1:7" x14ac:dyDescent="0.25">
      <c r="A186" t="s">
        <v>88</v>
      </c>
      <c r="B186" s="556">
        <v>2</v>
      </c>
      <c r="C186" t="s">
        <v>446</v>
      </c>
      <c r="D186" t="s">
        <v>1550</v>
      </c>
      <c r="E186" s="556">
        <f ca="1">VLOOKUP(A186,Data!C:I,7,FALSE)</f>
        <v>0</v>
      </c>
      <c r="F186" s="636" t="str">
        <f t="shared" si="28"/>
        <v>ID.AM-52</v>
      </c>
      <c r="G186" s="636" t="str">
        <f t="shared" ca="1" si="29"/>
        <v>ID.AM-520</v>
      </c>
    </row>
    <row r="187" spans="1:7" x14ac:dyDescent="0.25">
      <c r="A187" t="s">
        <v>88</v>
      </c>
      <c r="B187" s="556">
        <v>2</v>
      </c>
      <c r="C187" t="s">
        <v>446</v>
      </c>
      <c r="D187" t="s">
        <v>1551</v>
      </c>
      <c r="E187" s="556">
        <f ca="1">VLOOKUP(A187,Data!C:I,7,FALSE)</f>
        <v>0</v>
      </c>
      <c r="F187" s="636" t="str">
        <f t="shared" si="28"/>
        <v>ID.BE-42</v>
      </c>
      <c r="G187" s="636" t="str">
        <f t="shared" ca="1" si="29"/>
        <v>ID.BE-420</v>
      </c>
    </row>
    <row r="188" spans="1:7" x14ac:dyDescent="0.25">
      <c r="A188" t="s">
        <v>89</v>
      </c>
      <c r="B188" s="556">
        <v>2</v>
      </c>
      <c r="C188" t="s">
        <v>446</v>
      </c>
      <c r="D188" t="s">
        <v>1548</v>
      </c>
      <c r="E188" s="556">
        <f ca="1">VLOOKUP(A188,Data!C:I,7,FALSE)</f>
        <v>0</v>
      </c>
      <c r="F188" s="636" t="str">
        <f t="shared" si="28"/>
        <v>ID.AM-12</v>
      </c>
      <c r="G188" s="636" t="str">
        <f t="shared" ca="1" si="29"/>
        <v>ID.AM-120</v>
      </c>
    </row>
    <row r="189" spans="1:7" x14ac:dyDescent="0.25">
      <c r="A189" t="s">
        <v>89</v>
      </c>
      <c r="B189" s="556">
        <v>2</v>
      </c>
      <c r="C189" t="s">
        <v>446</v>
      </c>
      <c r="D189" t="s">
        <v>1549</v>
      </c>
      <c r="E189" s="556">
        <f ca="1">VLOOKUP(A189,Data!C:I,7,FALSE)</f>
        <v>0</v>
      </c>
      <c r="F189" s="636" t="str">
        <f t="shared" si="28"/>
        <v>ID.AM-22</v>
      </c>
      <c r="G189" s="636" t="str">
        <f t="shared" ca="1" si="29"/>
        <v>ID.AM-220</v>
      </c>
    </row>
    <row r="190" spans="1:7" x14ac:dyDescent="0.25">
      <c r="A190" t="s">
        <v>89</v>
      </c>
      <c r="B190" s="556">
        <v>2</v>
      </c>
      <c r="C190" t="s">
        <v>446</v>
      </c>
      <c r="D190" t="s">
        <v>1550</v>
      </c>
      <c r="E190" s="556">
        <f ca="1">VLOOKUP(A190,Data!C:I,7,FALSE)</f>
        <v>0</v>
      </c>
      <c r="F190" s="636" t="str">
        <f t="shared" si="28"/>
        <v>ID.AM-52</v>
      </c>
      <c r="G190" s="636" t="str">
        <f t="shared" ca="1" si="29"/>
        <v>ID.AM-520</v>
      </c>
    </row>
    <row r="191" spans="1:7" x14ac:dyDescent="0.25">
      <c r="A191" t="s">
        <v>89</v>
      </c>
      <c r="B191" s="556">
        <v>2</v>
      </c>
      <c r="C191" t="s">
        <v>446</v>
      </c>
      <c r="D191" t="s">
        <v>1551</v>
      </c>
      <c r="E191" s="556">
        <f ca="1">VLOOKUP(A191,Data!C:I,7,FALSE)</f>
        <v>0</v>
      </c>
      <c r="F191" s="636" t="str">
        <f t="shared" si="28"/>
        <v>ID.BE-42</v>
      </c>
      <c r="G191" s="636" t="str">
        <f t="shared" ca="1" si="29"/>
        <v>ID.BE-420</v>
      </c>
    </row>
    <row r="192" spans="1:7" x14ac:dyDescent="0.25">
      <c r="A192" t="s">
        <v>91</v>
      </c>
      <c r="B192" s="556">
        <v>2</v>
      </c>
      <c r="C192" t="s">
        <v>446</v>
      </c>
      <c r="D192" t="s">
        <v>1550</v>
      </c>
      <c r="E192" s="556">
        <f ca="1">VLOOKUP(A192,Data!C:I,7,FALSE)</f>
        <v>0</v>
      </c>
      <c r="F192" s="636" t="str">
        <f t="shared" si="28"/>
        <v>ID.AM-52</v>
      </c>
      <c r="G192" s="636" t="str">
        <f t="shared" ca="1" si="29"/>
        <v>ID.AM-520</v>
      </c>
    </row>
    <row r="193" spans="1:7" x14ac:dyDescent="0.25">
      <c r="A193" t="s">
        <v>91</v>
      </c>
      <c r="B193" s="556">
        <v>2</v>
      </c>
      <c r="C193" t="s">
        <v>446</v>
      </c>
      <c r="D193" t="s">
        <v>1551</v>
      </c>
      <c r="E193" s="556">
        <f ca="1">VLOOKUP(A193,Data!C:I,7,FALSE)</f>
        <v>0</v>
      </c>
      <c r="F193" s="636" t="str">
        <f t="shared" si="28"/>
        <v>ID.BE-42</v>
      </c>
      <c r="G193" s="636" t="str">
        <f t="shared" ca="1" si="29"/>
        <v>ID.BE-420</v>
      </c>
    </row>
    <row r="194" spans="1:7" x14ac:dyDescent="0.25">
      <c r="A194" t="s">
        <v>93</v>
      </c>
      <c r="B194" s="556">
        <v>2</v>
      </c>
      <c r="C194" t="s">
        <v>446</v>
      </c>
      <c r="D194" t="s">
        <v>1550</v>
      </c>
      <c r="E194" s="556">
        <f ca="1">VLOOKUP(A194,Data!C:I,7,FALSE)</f>
        <v>0</v>
      </c>
      <c r="F194" s="636" t="str">
        <f t="shared" si="28"/>
        <v>ID.AM-52</v>
      </c>
      <c r="G194" s="636" t="str">
        <f t="shared" ca="1" si="29"/>
        <v>ID.AM-520</v>
      </c>
    </row>
    <row r="195" spans="1:7" x14ac:dyDescent="0.25">
      <c r="A195" t="s">
        <v>93</v>
      </c>
      <c r="B195" s="556">
        <v>2</v>
      </c>
      <c r="C195" t="s">
        <v>446</v>
      </c>
      <c r="D195" t="s">
        <v>1551</v>
      </c>
      <c r="E195" s="556">
        <f ca="1">VLOOKUP(A195,Data!C:I,7,FALSE)</f>
        <v>0</v>
      </c>
      <c r="F195" s="636" t="str">
        <f t="shared" ref="F195:F258" si="30">CONCATENATE($D195,$B195)</f>
        <v>ID.BE-42</v>
      </c>
      <c r="G195" s="636" t="str">
        <f t="shared" ref="G195:G258" ca="1" si="31">_xlfn.IFNA(CONCATENATE(F195,$E195),CONCATENATE(F195,$E195,0))</f>
        <v>ID.BE-420</v>
      </c>
    </row>
    <row r="196" spans="1:7" x14ac:dyDescent="0.25">
      <c r="A196" t="s">
        <v>95</v>
      </c>
      <c r="B196" s="556">
        <v>3</v>
      </c>
      <c r="C196" t="s">
        <v>446</v>
      </c>
      <c r="D196" t="s">
        <v>1548</v>
      </c>
      <c r="E196" s="556">
        <f ca="1">VLOOKUP(A196,Data!C:I,7,FALSE)</f>
        <v>0</v>
      </c>
      <c r="F196" s="636" t="str">
        <f t="shared" si="30"/>
        <v>ID.AM-13</v>
      </c>
      <c r="G196" s="636" t="str">
        <f t="shared" ca="1" si="31"/>
        <v>ID.AM-130</v>
      </c>
    </row>
    <row r="197" spans="1:7" x14ac:dyDescent="0.25">
      <c r="A197" t="s">
        <v>95</v>
      </c>
      <c r="B197" s="556">
        <v>3</v>
      </c>
      <c r="C197" t="s">
        <v>446</v>
      </c>
      <c r="D197" t="s">
        <v>1549</v>
      </c>
      <c r="E197" s="556">
        <f ca="1">VLOOKUP(A197,Data!C:I,7,FALSE)</f>
        <v>0</v>
      </c>
      <c r="F197" s="636" t="str">
        <f t="shared" si="30"/>
        <v>ID.AM-23</v>
      </c>
      <c r="G197" s="636" t="str">
        <f t="shared" ca="1" si="31"/>
        <v>ID.AM-230</v>
      </c>
    </row>
    <row r="198" spans="1:7" x14ac:dyDescent="0.25">
      <c r="A198" t="s">
        <v>95</v>
      </c>
      <c r="B198" s="556">
        <v>3</v>
      </c>
      <c r="C198" t="s">
        <v>446</v>
      </c>
      <c r="D198" t="s">
        <v>1551</v>
      </c>
      <c r="E198" s="556">
        <f ca="1">VLOOKUP(A198,Data!C:I,7,FALSE)</f>
        <v>0</v>
      </c>
      <c r="F198" s="636" t="str">
        <f t="shared" si="30"/>
        <v>ID.BE-43</v>
      </c>
      <c r="G198" s="636" t="str">
        <f t="shared" ca="1" si="31"/>
        <v>ID.BE-430</v>
      </c>
    </row>
    <row r="199" spans="1:7" x14ac:dyDescent="0.25">
      <c r="A199" t="s">
        <v>939</v>
      </c>
      <c r="B199" s="556">
        <v>3</v>
      </c>
      <c r="C199" t="s">
        <v>446</v>
      </c>
      <c r="D199" t="s">
        <v>1548</v>
      </c>
      <c r="E199" s="556">
        <f ca="1">VLOOKUP(A199,Data!C:I,7,FALSE)</f>
        <v>0</v>
      </c>
      <c r="F199" s="636" t="str">
        <f t="shared" si="30"/>
        <v>ID.AM-13</v>
      </c>
      <c r="G199" s="636" t="str">
        <f t="shared" ca="1" si="31"/>
        <v>ID.AM-130</v>
      </c>
    </row>
    <row r="200" spans="1:7" x14ac:dyDescent="0.25">
      <c r="A200" t="s">
        <v>939</v>
      </c>
      <c r="B200" s="556">
        <v>3</v>
      </c>
      <c r="C200" t="s">
        <v>446</v>
      </c>
      <c r="D200" t="s">
        <v>1549</v>
      </c>
      <c r="E200" s="556">
        <f ca="1">VLOOKUP(A200,Data!C:I,7,FALSE)</f>
        <v>0</v>
      </c>
      <c r="F200" s="636" t="str">
        <f t="shared" si="30"/>
        <v>ID.AM-23</v>
      </c>
      <c r="G200" s="636" t="str">
        <f t="shared" ca="1" si="31"/>
        <v>ID.AM-230</v>
      </c>
    </row>
    <row r="201" spans="1:7" x14ac:dyDescent="0.25">
      <c r="A201" t="s">
        <v>939</v>
      </c>
      <c r="B201" s="556">
        <v>3</v>
      </c>
      <c r="C201" t="s">
        <v>446</v>
      </c>
      <c r="D201" t="s">
        <v>1551</v>
      </c>
      <c r="E201" s="556">
        <f ca="1">VLOOKUP(A201,Data!C:I,7,FALSE)</f>
        <v>0</v>
      </c>
      <c r="F201" s="636" t="str">
        <f t="shared" si="30"/>
        <v>ID.BE-43</v>
      </c>
      <c r="G201" s="636" t="str">
        <f t="shared" ca="1" si="31"/>
        <v>ID.BE-430</v>
      </c>
    </row>
    <row r="202" spans="1:7" x14ac:dyDescent="0.25">
      <c r="A202" t="s">
        <v>940</v>
      </c>
      <c r="B202" s="556">
        <v>3</v>
      </c>
      <c r="C202" t="s">
        <v>446</v>
      </c>
      <c r="D202" t="s">
        <v>1551</v>
      </c>
      <c r="E202" s="556">
        <f ca="1">VLOOKUP(A202,Data!C:I,7,FALSE)</f>
        <v>0</v>
      </c>
      <c r="F202" s="636" t="str">
        <f t="shared" si="30"/>
        <v>ID.BE-43</v>
      </c>
      <c r="G202" s="636" t="str">
        <f t="shared" ca="1" si="31"/>
        <v>ID.BE-430</v>
      </c>
    </row>
    <row r="203" spans="1:7" x14ac:dyDescent="0.25">
      <c r="A203" t="s">
        <v>940</v>
      </c>
      <c r="B203" s="556">
        <v>3</v>
      </c>
      <c r="C203" t="s">
        <v>446</v>
      </c>
      <c r="D203" t="s">
        <v>1552</v>
      </c>
      <c r="E203" s="556">
        <f ca="1">VLOOKUP(A203,Data!C:I,7,FALSE)</f>
        <v>0</v>
      </c>
      <c r="F203" s="636" t="str">
        <f t="shared" si="30"/>
        <v>ID.RA-53</v>
      </c>
      <c r="G203" s="636" t="str">
        <f t="shared" ca="1" si="31"/>
        <v>ID.RA-530</v>
      </c>
    </row>
    <row r="204" spans="1:7" x14ac:dyDescent="0.25">
      <c r="A204" t="s">
        <v>941</v>
      </c>
      <c r="B204" s="556">
        <v>3</v>
      </c>
      <c r="C204" t="s">
        <v>1501</v>
      </c>
      <c r="D204" t="s">
        <v>1540</v>
      </c>
      <c r="E204" s="556" t="e">
        <f>VLOOKUP(A204,Data!C:I,7,FALSE)</f>
        <v>#N/A</v>
      </c>
      <c r="F204" s="636" t="str">
        <f t="shared" si="30"/>
        <v>PR.DS-33</v>
      </c>
      <c r="G204" s="636" t="e">
        <f t="shared" si="31"/>
        <v>#N/A</v>
      </c>
    </row>
    <row r="205" spans="1:7" x14ac:dyDescent="0.25">
      <c r="A205" t="s">
        <v>941</v>
      </c>
      <c r="B205" s="556">
        <v>3</v>
      </c>
      <c r="C205" t="s">
        <v>1501</v>
      </c>
      <c r="D205" t="s">
        <v>1553</v>
      </c>
      <c r="E205" s="556" t="e">
        <f>VLOOKUP(A205,Data!C:I,7,FALSE)</f>
        <v>#N/A</v>
      </c>
      <c r="F205" s="636" t="str">
        <f t="shared" si="30"/>
        <v>PR.IP-63</v>
      </c>
      <c r="G205" s="636" t="e">
        <f t="shared" si="31"/>
        <v>#N/A</v>
      </c>
    </row>
    <row r="206" spans="1:7" x14ac:dyDescent="0.25">
      <c r="A206" t="s">
        <v>97</v>
      </c>
      <c r="B206" s="556">
        <v>1</v>
      </c>
      <c r="C206" t="s">
        <v>446</v>
      </c>
      <c r="D206" t="s">
        <v>1554</v>
      </c>
      <c r="E206" s="556">
        <f ca="1">VLOOKUP(A206,Data!C:I,7,FALSE)</f>
        <v>0</v>
      </c>
      <c r="F206" s="636" t="str">
        <f t="shared" si="30"/>
        <v>ID.AM-31</v>
      </c>
      <c r="G206" s="636" t="str">
        <f t="shared" ca="1" si="31"/>
        <v>ID.AM-310</v>
      </c>
    </row>
    <row r="207" spans="1:7" x14ac:dyDescent="0.25">
      <c r="A207" t="s">
        <v>97</v>
      </c>
      <c r="B207" s="556">
        <v>1</v>
      </c>
      <c r="C207" t="s">
        <v>446</v>
      </c>
      <c r="D207" t="s">
        <v>1550</v>
      </c>
      <c r="E207" s="556">
        <f ca="1">VLOOKUP(A207,Data!C:I,7,FALSE)</f>
        <v>0</v>
      </c>
      <c r="F207" s="636" t="str">
        <f t="shared" si="30"/>
        <v>ID.AM-51</v>
      </c>
      <c r="G207" s="636" t="str">
        <f t="shared" ca="1" si="31"/>
        <v>ID.AM-510</v>
      </c>
    </row>
    <row r="208" spans="1:7" x14ac:dyDescent="0.25">
      <c r="A208" t="s">
        <v>97</v>
      </c>
      <c r="B208" s="556">
        <v>1</v>
      </c>
      <c r="C208" t="s">
        <v>446</v>
      </c>
      <c r="D208" t="s">
        <v>1551</v>
      </c>
      <c r="E208" s="556">
        <f ca="1">VLOOKUP(A208,Data!C:I,7,FALSE)</f>
        <v>0</v>
      </c>
      <c r="F208" s="636" t="str">
        <f t="shared" si="30"/>
        <v>ID.BE-41</v>
      </c>
      <c r="G208" s="636" t="str">
        <f t="shared" ca="1" si="31"/>
        <v>ID.BE-410</v>
      </c>
    </row>
    <row r="209" spans="1:7" x14ac:dyDescent="0.25">
      <c r="A209" t="s">
        <v>98</v>
      </c>
      <c r="B209" s="556">
        <v>2</v>
      </c>
      <c r="C209" t="s">
        <v>446</v>
      </c>
      <c r="D209" t="s">
        <v>1554</v>
      </c>
      <c r="E209" s="556">
        <f ca="1">VLOOKUP(A209,Data!C:I,7,FALSE)</f>
        <v>0</v>
      </c>
      <c r="F209" s="636" t="str">
        <f t="shared" si="30"/>
        <v>ID.AM-32</v>
      </c>
      <c r="G209" s="636" t="str">
        <f t="shared" ca="1" si="31"/>
        <v>ID.AM-320</v>
      </c>
    </row>
    <row r="210" spans="1:7" x14ac:dyDescent="0.25">
      <c r="A210" t="s">
        <v>98</v>
      </c>
      <c r="B210" s="556">
        <v>2</v>
      </c>
      <c r="C210" t="s">
        <v>446</v>
      </c>
      <c r="D210" t="s">
        <v>1550</v>
      </c>
      <c r="E210" s="556">
        <f ca="1">VLOOKUP(A210,Data!C:I,7,FALSE)</f>
        <v>0</v>
      </c>
      <c r="F210" s="636" t="str">
        <f t="shared" si="30"/>
        <v>ID.AM-52</v>
      </c>
      <c r="G210" s="636" t="str">
        <f t="shared" ca="1" si="31"/>
        <v>ID.AM-520</v>
      </c>
    </row>
    <row r="211" spans="1:7" x14ac:dyDescent="0.25">
      <c r="A211" t="s">
        <v>98</v>
      </c>
      <c r="B211" s="556">
        <v>2</v>
      </c>
      <c r="C211" t="s">
        <v>446</v>
      </c>
      <c r="D211" t="s">
        <v>1551</v>
      </c>
      <c r="E211" s="556">
        <f ca="1">VLOOKUP(A211,Data!C:I,7,FALSE)</f>
        <v>0</v>
      </c>
      <c r="F211" s="636" t="str">
        <f t="shared" si="30"/>
        <v>ID.BE-42</v>
      </c>
      <c r="G211" s="636" t="str">
        <f t="shared" ca="1" si="31"/>
        <v>ID.BE-420</v>
      </c>
    </row>
    <row r="212" spans="1:7" x14ac:dyDescent="0.25">
      <c r="A212" t="s">
        <v>99</v>
      </c>
      <c r="B212" s="556">
        <v>2</v>
      </c>
      <c r="C212" t="s">
        <v>446</v>
      </c>
      <c r="D212" t="s">
        <v>1554</v>
      </c>
      <c r="E212" s="556">
        <f ca="1">VLOOKUP(A212,Data!C:I,7,FALSE)</f>
        <v>0</v>
      </c>
      <c r="F212" s="636" t="str">
        <f t="shared" si="30"/>
        <v>ID.AM-32</v>
      </c>
      <c r="G212" s="636" t="str">
        <f t="shared" ca="1" si="31"/>
        <v>ID.AM-320</v>
      </c>
    </row>
    <row r="213" spans="1:7" x14ac:dyDescent="0.25">
      <c r="A213" t="s">
        <v>99</v>
      </c>
      <c r="B213" s="556">
        <v>2</v>
      </c>
      <c r="C213" t="s">
        <v>446</v>
      </c>
      <c r="D213" t="s">
        <v>1550</v>
      </c>
      <c r="E213" s="556">
        <f ca="1">VLOOKUP(A213,Data!C:I,7,FALSE)</f>
        <v>0</v>
      </c>
      <c r="F213" s="636" t="str">
        <f t="shared" si="30"/>
        <v>ID.AM-52</v>
      </c>
      <c r="G213" s="636" t="str">
        <f t="shared" ca="1" si="31"/>
        <v>ID.AM-520</v>
      </c>
    </row>
    <row r="214" spans="1:7" x14ac:dyDescent="0.25">
      <c r="A214" t="s">
        <v>99</v>
      </c>
      <c r="B214" s="556">
        <v>2</v>
      </c>
      <c r="C214" t="s">
        <v>446</v>
      </c>
      <c r="D214" t="s">
        <v>1551</v>
      </c>
      <c r="E214" s="556">
        <f ca="1">VLOOKUP(A214,Data!C:I,7,FALSE)</f>
        <v>0</v>
      </c>
      <c r="F214" s="636" t="str">
        <f t="shared" si="30"/>
        <v>ID.BE-42</v>
      </c>
      <c r="G214" s="636" t="str">
        <f t="shared" ca="1" si="31"/>
        <v>ID.BE-420</v>
      </c>
    </row>
    <row r="215" spans="1:7" x14ac:dyDescent="0.25">
      <c r="A215" t="s">
        <v>100</v>
      </c>
      <c r="B215" s="556">
        <v>2</v>
      </c>
      <c r="C215" t="s">
        <v>446</v>
      </c>
      <c r="D215" t="s">
        <v>1550</v>
      </c>
      <c r="E215" s="556">
        <f ca="1">VLOOKUP(A215,Data!C:I,7,FALSE)</f>
        <v>0</v>
      </c>
      <c r="F215" s="636" t="str">
        <f t="shared" si="30"/>
        <v>ID.AM-52</v>
      </c>
      <c r="G215" s="636" t="str">
        <f t="shared" ca="1" si="31"/>
        <v>ID.AM-520</v>
      </c>
    </row>
    <row r="216" spans="1:7" x14ac:dyDescent="0.25">
      <c r="A216" t="s">
        <v>100</v>
      </c>
      <c r="B216" s="556">
        <v>2</v>
      </c>
      <c r="C216" t="s">
        <v>446</v>
      </c>
      <c r="D216" t="s">
        <v>1551</v>
      </c>
      <c r="E216" s="556">
        <f ca="1">VLOOKUP(A216,Data!C:I,7,FALSE)</f>
        <v>0</v>
      </c>
      <c r="F216" s="636" t="str">
        <f t="shared" si="30"/>
        <v>ID.BE-42</v>
      </c>
      <c r="G216" s="636" t="str">
        <f t="shared" ca="1" si="31"/>
        <v>ID.BE-420</v>
      </c>
    </row>
    <row r="217" spans="1:7" x14ac:dyDescent="0.25">
      <c r="A217" t="s">
        <v>101</v>
      </c>
      <c r="B217" s="556">
        <v>2</v>
      </c>
      <c r="C217" t="s">
        <v>446</v>
      </c>
      <c r="D217" t="s">
        <v>1550</v>
      </c>
      <c r="E217" s="556">
        <f ca="1">VLOOKUP(A217,Data!C:I,7,FALSE)</f>
        <v>0</v>
      </c>
      <c r="F217" s="636" t="str">
        <f t="shared" si="30"/>
        <v>ID.AM-52</v>
      </c>
      <c r="G217" s="636" t="str">
        <f t="shared" ca="1" si="31"/>
        <v>ID.AM-520</v>
      </c>
    </row>
    <row r="218" spans="1:7" x14ac:dyDescent="0.25">
      <c r="A218" t="s">
        <v>101</v>
      </c>
      <c r="B218" s="556">
        <v>2</v>
      </c>
      <c r="C218" t="s">
        <v>446</v>
      </c>
      <c r="D218" t="s">
        <v>1551</v>
      </c>
      <c r="E218" s="556">
        <f ca="1">VLOOKUP(A218,Data!C:I,7,FALSE)</f>
        <v>0</v>
      </c>
      <c r="F218" s="636" t="str">
        <f t="shared" si="30"/>
        <v>ID.BE-42</v>
      </c>
      <c r="G218" s="636" t="str">
        <f t="shared" ca="1" si="31"/>
        <v>ID.BE-420</v>
      </c>
    </row>
    <row r="219" spans="1:7" x14ac:dyDescent="0.25">
      <c r="A219" t="s">
        <v>102</v>
      </c>
      <c r="B219" s="556">
        <v>3</v>
      </c>
      <c r="C219" t="s">
        <v>446</v>
      </c>
      <c r="D219" t="s">
        <v>1554</v>
      </c>
      <c r="E219" s="556">
        <f ca="1">VLOOKUP(A219,Data!C:I,7,FALSE)</f>
        <v>0</v>
      </c>
      <c r="F219" s="636" t="str">
        <f t="shared" si="30"/>
        <v>ID.AM-33</v>
      </c>
      <c r="G219" s="636" t="str">
        <f t="shared" ca="1" si="31"/>
        <v>ID.AM-330</v>
      </c>
    </row>
    <row r="220" spans="1:7" x14ac:dyDescent="0.25">
      <c r="A220" t="s">
        <v>102</v>
      </c>
      <c r="B220" s="556">
        <v>3</v>
      </c>
      <c r="C220" t="s">
        <v>446</v>
      </c>
      <c r="D220" t="s">
        <v>1550</v>
      </c>
      <c r="E220" s="556">
        <f ca="1">VLOOKUP(A220,Data!C:I,7,FALSE)</f>
        <v>0</v>
      </c>
      <c r="F220" s="636" t="str">
        <f t="shared" si="30"/>
        <v>ID.AM-53</v>
      </c>
      <c r="G220" s="636" t="str">
        <f t="shared" ca="1" si="31"/>
        <v>ID.AM-530</v>
      </c>
    </row>
    <row r="221" spans="1:7" x14ac:dyDescent="0.25">
      <c r="A221" t="s">
        <v>102</v>
      </c>
      <c r="B221" s="556">
        <v>3</v>
      </c>
      <c r="C221" t="s">
        <v>446</v>
      </c>
      <c r="D221" t="s">
        <v>1551</v>
      </c>
      <c r="E221" s="556">
        <f ca="1">VLOOKUP(A221,Data!C:I,7,FALSE)</f>
        <v>0</v>
      </c>
      <c r="F221" s="636" t="str">
        <f t="shared" si="30"/>
        <v>ID.BE-43</v>
      </c>
      <c r="G221" s="636" t="str">
        <f t="shared" ca="1" si="31"/>
        <v>ID.BE-430</v>
      </c>
    </row>
    <row r="222" spans="1:7" x14ac:dyDescent="0.25">
      <c r="A222" t="s">
        <v>942</v>
      </c>
      <c r="B222" s="556">
        <v>3</v>
      </c>
      <c r="C222" t="s">
        <v>446</v>
      </c>
      <c r="D222" t="s">
        <v>1554</v>
      </c>
      <c r="E222" s="556">
        <f ca="1">VLOOKUP(A222,Data!C:I,7,FALSE)</f>
        <v>0</v>
      </c>
      <c r="F222" s="636" t="str">
        <f t="shared" si="30"/>
        <v>ID.AM-33</v>
      </c>
      <c r="G222" s="636" t="str">
        <f t="shared" ca="1" si="31"/>
        <v>ID.AM-330</v>
      </c>
    </row>
    <row r="223" spans="1:7" x14ac:dyDescent="0.25">
      <c r="A223" t="s">
        <v>942</v>
      </c>
      <c r="B223" s="556">
        <v>3</v>
      </c>
      <c r="C223" t="s">
        <v>446</v>
      </c>
      <c r="D223" t="s">
        <v>1551</v>
      </c>
      <c r="E223" s="556">
        <f ca="1">VLOOKUP(A223,Data!C:I,7,FALSE)</f>
        <v>0</v>
      </c>
      <c r="F223" s="636" t="str">
        <f t="shared" si="30"/>
        <v>ID.BE-43</v>
      </c>
      <c r="G223" s="636" t="str">
        <f t="shared" ca="1" si="31"/>
        <v>ID.BE-430</v>
      </c>
    </row>
    <row r="224" spans="1:7" x14ac:dyDescent="0.25">
      <c r="A224" t="s">
        <v>943</v>
      </c>
      <c r="B224" s="556">
        <v>3</v>
      </c>
      <c r="C224" t="s">
        <v>446</v>
      </c>
      <c r="D224" t="s">
        <v>1551</v>
      </c>
      <c r="E224" s="556">
        <f ca="1">VLOOKUP(A224,Data!C:I,7,FALSE)</f>
        <v>0</v>
      </c>
      <c r="F224" s="636" t="str">
        <f t="shared" si="30"/>
        <v>ID.BE-43</v>
      </c>
      <c r="G224" s="636" t="str">
        <f t="shared" ca="1" si="31"/>
        <v>ID.BE-430</v>
      </c>
    </row>
    <row r="225" spans="1:7" x14ac:dyDescent="0.25">
      <c r="A225" t="s">
        <v>943</v>
      </c>
      <c r="B225" s="556">
        <v>3</v>
      </c>
      <c r="C225" t="s">
        <v>446</v>
      </c>
      <c r="D225" t="s">
        <v>1552</v>
      </c>
      <c r="E225" s="556">
        <f ca="1">VLOOKUP(A225,Data!C:I,7,FALSE)</f>
        <v>0</v>
      </c>
      <c r="F225" s="636" t="str">
        <f t="shared" si="30"/>
        <v>ID.RA-53</v>
      </c>
      <c r="G225" s="636" t="str">
        <f t="shared" ca="1" si="31"/>
        <v>ID.RA-530</v>
      </c>
    </row>
    <row r="226" spans="1:7" x14ac:dyDescent="0.25">
      <c r="A226" t="s">
        <v>944</v>
      </c>
      <c r="B226" s="556">
        <v>3</v>
      </c>
      <c r="C226" t="s">
        <v>1501</v>
      </c>
      <c r="D226" t="s">
        <v>1540</v>
      </c>
      <c r="E226" s="556" t="e">
        <f>VLOOKUP(A226,Data!C:I,7,FALSE)</f>
        <v>#N/A</v>
      </c>
      <c r="F226" s="636" t="str">
        <f t="shared" si="30"/>
        <v>PR.DS-33</v>
      </c>
      <c r="G226" s="636" t="e">
        <f t="shared" si="31"/>
        <v>#N/A</v>
      </c>
    </row>
    <row r="227" spans="1:7" x14ac:dyDescent="0.25">
      <c r="A227" t="s">
        <v>944</v>
      </c>
      <c r="B227" s="556">
        <v>3</v>
      </c>
      <c r="C227" t="s">
        <v>1501</v>
      </c>
      <c r="D227" t="s">
        <v>1553</v>
      </c>
      <c r="E227" s="556" t="e">
        <f>VLOOKUP(A227,Data!C:I,7,FALSE)</f>
        <v>#N/A</v>
      </c>
      <c r="F227" s="636" t="str">
        <f t="shared" si="30"/>
        <v>PR.IP-63</v>
      </c>
      <c r="G227" s="636" t="e">
        <f t="shared" si="31"/>
        <v>#N/A</v>
      </c>
    </row>
    <row r="228" spans="1:7" x14ac:dyDescent="0.25">
      <c r="A228" t="s">
        <v>105</v>
      </c>
      <c r="B228" s="556">
        <v>1</v>
      </c>
      <c r="C228" t="s">
        <v>1501</v>
      </c>
      <c r="D228" t="s">
        <v>1539</v>
      </c>
      <c r="E228" s="556">
        <f ca="1">VLOOKUP(A228,Data!C:I,7,FALSE)</f>
        <v>0</v>
      </c>
      <c r="F228" s="636" t="str">
        <f t="shared" si="30"/>
        <v>PR.DS-81</v>
      </c>
      <c r="G228" s="636" t="str">
        <f t="shared" ca="1" si="31"/>
        <v>PR.DS-810</v>
      </c>
    </row>
    <row r="229" spans="1:7" x14ac:dyDescent="0.25">
      <c r="A229" t="s">
        <v>105</v>
      </c>
      <c r="B229" s="556">
        <v>1</v>
      </c>
      <c r="C229" t="s">
        <v>1501</v>
      </c>
      <c r="D229" t="s">
        <v>1555</v>
      </c>
      <c r="E229" s="556">
        <f ca="1">VLOOKUP(A229,Data!C:I,7,FALSE)</f>
        <v>0</v>
      </c>
      <c r="F229" s="636" t="str">
        <f t="shared" si="30"/>
        <v>PR.IP-11</v>
      </c>
      <c r="G229" s="636" t="str">
        <f t="shared" ca="1" si="31"/>
        <v>PR.IP-110</v>
      </c>
    </row>
    <row r="230" spans="1:7" x14ac:dyDescent="0.25">
      <c r="A230" t="s">
        <v>107</v>
      </c>
      <c r="B230" s="556">
        <v>2</v>
      </c>
      <c r="C230" t="s">
        <v>1501</v>
      </c>
      <c r="D230" t="s">
        <v>1539</v>
      </c>
      <c r="E230" s="556">
        <f ca="1">VLOOKUP(A230,Data!C:I,7,FALSE)</f>
        <v>0</v>
      </c>
      <c r="F230" s="636" t="str">
        <f t="shared" si="30"/>
        <v>PR.DS-82</v>
      </c>
      <c r="G230" s="636" t="str">
        <f t="shared" ca="1" si="31"/>
        <v>PR.DS-820</v>
      </c>
    </row>
    <row r="231" spans="1:7" x14ac:dyDescent="0.25">
      <c r="A231" t="s">
        <v>107</v>
      </c>
      <c r="B231" s="556">
        <v>2</v>
      </c>
      <c r="C231" t="s">
        <v>1501</v>
      </c>
      <c r="D231" t="s">
        <v>1555</v>
      </c>
      <c r="E231" s="556">
        <f ca="1">VLOOKUP(A231,Data!C:I,7,FALSE)</f>
        <v>0</v>
      </c>
      <c r="F231" s="636" t="str">
        <f t="shared" si="30"/>
        <v>PR.IP-12</v>
      </c>
      <c r="G231" s="636" t="str">
        <f t="shared" ca="1" si="31"/>
        <v>PR.IP-120</v>
      </c>
    </row>
    <row r="232" spans="1:7" x14ac:dyDescent="0.25">
      <c r="A232" t="s">
        <v>107</v>
      </c>
      <c r="B232" s="556">
        <v>2</v>
      </c>
      <c r="C232" t="s">
        <v>1501</v>
      </c>
      <c r="D232" t="s">
        <v>1544</v>
      </c>
      <c r="E232" s="556">
        <f ca="1">VLOOKUP(A232,Data!C:I,7,FALSE)</f>
        <v>0</v>
      </c>
      <c r="F232" s="636" t="str">
        <f t="shared" si="30"/>
        <v>PR.IP-32</v>
      </c>
      <c r="G232" s="636" t="str">
        <f t="shared" ca="1" si="31"/>
        <v>PR.IP-320</v>
      </c>
    </row>
    <row r="233" spans="1:7" x14ac:dyDescent="0.25">
      <c r="A233" t="s">
        <v>109</v>
      </c>
      <c r="B233" s="556">
        <v>3</v>
      </c>
      <c r="C233" t="s">
        <v>1501</v>
      </c>
      <c r="D233" t="s">
        <v>1555</v>
      </c>
      <c r="E233" s="556">
        <f ca="1">VLOOKUP(A233,Data!C:I,7,FALSE)</f>
        <v>0</v>
      </c>
      <c r="F233" s="636" t="str">
        <f t="shared" si="30"/>
        <v>PR.IP-13</v>
      </c>
      <c r="G233" s="636" t="str">
        <f t="shared" ca="1" si="31"/>
        <v>PR.IP-130</v>
      </c>
    </row>
    <row r="234" spans="1:7" x14ac:dyDescent="0.25">
      <c r="A234" t="s">
        <v>111</v>
      </c>
      <c r="B234" s="556">
        <v>3</v>
      </c>
      <c r="C234" t="s">
        <v>1501</v>
      </c>
      <c r="D234" t="s">
        <v>1555</v>
      </c>
      <c r="E234" s="556">
        <f ca="1">VLOOKUP(A234,Data!C:I,7,FALSE)</f>
        <v>0</v>
      </c>
      <c r="F234" s="636" t="str">
        <f t="shared" si="30"/>
        <v>PR.IP-13</v>
      </c>
      <c r="G234" s="636" t="str">
        <f t="shared" ca="1" si="31"/>
        <v>PR.IP-130</v>
      </c>
    </row>
    <row r="235" spans="1:7" x14ac:dyDescent="0.25">
      <c r="A235" t="s">
        <v>113</v>
      </c>
      <c r="B235" s="556">
        <v>3</v>
      </c>
      <c r="C235" t="s">
        <v>1501</v>
      </c>
      <c r="D235" t="s">
        <v>1539</v>
      </c>
      <c r="E235" s="556">
        <f ca="1">VLOOKUP(A235,Data!C:I,7,FALSE)</f>
        <v>0</v>
      </c>
      <c r="F235" s="636" t="str">
        <f t="shared" si="30"/>
        <v>PR.DS-83</v>
      </c>
      <c r="G235" s="636" t="str">
        <f t="shared" ca="1" si="31"/>
        <v>PR.DS-830</v>
      </c>
    </row>
    <row r="236" spans="1:7" x14ac:dyDescent="0.25">
      <c r="A236" t="s">
        <v>114</v>
      </c>
      <c r="B236" s="556">
        <v>3</v>
      </c>
      <c r="C236" t="s">
        <v>1501</v>
      </c>
      <c r="D236" t="s">
        <v>1555</v>
      </c>
      <c r="E236" s="556" t="e">
        <f>VLOOKUP(A236,Data!C:I,7,FALSE)</f>
        <v>#N/A</v>
      </c>
      <c r="F236" s="636" t="str">
        <f t="shared" si="30"/>
        <v>PR.IP-13</v>
      </c>
      <c r="G236" s="636" t="e">
        <f t="shared" si="31"/>
        <v>#N/A</v>
      </c>
    </row>
    <row r="237" spans="1:7" x14ac:dyDescent="0.25">
      <c r="A237" t="s">
        <v>116</v>
      </c>
      <c r="B237" s="556">
        <v>1</v>
      </c>
      <c r="C237" t="s">
        <v>1501</v>
      </c>
      <c r="D237" t="s">
        <v>1540</v>
      </c>
      <c r="E237" s="556">
        <f ca="1">VLOOKUP(A237,Data!C:I,7,FALSE)</f>
        <v>0</v>
      </c>
      <c r="F237" s="636" t="str">
        <f t="shared" si="30"/>
        <v>PR.DS-31</v>
      </c>
      <c r="G237" s="636" t="str">
        <f t="shared" ca="1" si="31"/>
        <v>PR.DS-310</v>
      </c>
    </row>
    <row r="238" spans="1:7" x14ac:dyDescent="0.25">
      <c r="A238" t="s">
        <v>116</v>
      </c>
      <c r="B238" s="556">
        <v>1</v>
      </c>
      <c r="C238" t="s">
        <v>1501</v>
      </c>
      <c r="D238" t="s">
        <v>1544</v>
      </c>
      <c r="E238" s="556">
        <f ca="1">VLOOKUP(A238,Data!C:I,7,FALSE)</f>
        <v>0</v>
      </c>
      <c r="F238" s="636" t="str">
        <f t="shared" si="30"/>
        <v>PR.IP-31</v>
      </c>
      <c r="G238" s="636" t="str">
        <f t="shared" ca="1" si="31"/>
        <v>PR.IP-310</v>
      </c>
    </row>
    <row r="239" spans="1:7" x14ac:dyDescent="0.25">
      <c r="A239" t="s">
        <v>119</v>
      </c>
      <c r="B239" s="556">
        <v>1</v>
      </c>
      <c r="C239" t="s">
        <v>1501</v>
      </c>
      <c r="D239" t="s">
        <v>1540</v>
      </c>
      <c r="E239" s="556">
        <f ca="1">VLOOKUP(A239,Data!C:I,7,FALSE)</f>
        <v>0</v>
      </c>
      <c r="F239" s="636" t="str">
        <f t="shared" si="30"/>
        <v>PR.DS-31</v>
      </c>
      <c r="G239" s="636" t="str">
        <f t="shared" ca="1" si="31"/>
        <v>PR.DS-310</v>
      </c>
    </row>
    <row r="240" spans="1:7" x14ac:dyDescent="0.25">
      <c r="A240" t="s">
        <v>119</v>
      </c>
      <c r="B240" s="556">
        <v>1</v>
      </c>
      <c r="C240" t="s">
        <v>1501</v>
      </c>
      <c r="D240" t="s">
        <v>1544</v>
      </c>
      <c r="E240" s="556">
        <f ca="1">VLOOKUP(A240,Data!C:I,7,FALSE)</f>
        <v>0</v>
      </c>
      <c r="F240" s="636" t="str">
        <f t="shared" si="30"/>
        <v>PR.IP-31</v>
      </c>
      <c r="G240" s="636" t="str">
        <f t="shared" ca="1" si="31"/>
        <v>PR.IP-310</v>
      </c>
    </row>
    <row r="241" spans="1:7" x14ac:dyDescent="0.25">
      <c r="A241" t="s">
        <v>119</v>
      </c>
      <c r="B241" s="556">
        <v>1</v>
      </c>
      <c r="C241" t="s">
        <v>1501</v>
      </c>
      <c r="D241" t="s">
        <v>1556</v>
      </c>
      <c r="E241" s="556">
        <f ca="1">VLOOKUP(A241,Data!C:I,7,FALSE)</f>
        <v>0</v>
      </c>
      <c r="F241" s="636" t="str">
        <f t="shared" si="30"/>
        <v>PR.MA-11</v>
      </c>
      <c r="G241" s="636" t="str">
        <f t="shared" ca="1" si="31"/>
        <v>PR.MA-110</v>
      </c>
    </row>
    <row r="242" spans="1:7" x14ac:dyDescent="0.25">
      <c r="A242" t="s">
        <v>122</v>
      </c>
      <c r="B242" s="556">
        <v>2</v>
      </c>
      <c r="C242" t="s">
        <v>1501</v>
      </c>
      <c r="D242" t="s">
        <v>1540</v>
      </c>
      <c r="E242" s="556">
        <f ca="1">VLOOKUP(A242,Data!C:I,7,FALSE)</f>
        <v>0</v>
      </c>
      <c r="F242" s="636" t="str">
        <f t="shared" si="30"/>
        <v>PR.DS-32</v>
      </c>
      <c r="G242" s="636" t="str">
        <f t="shared" ca="1" si="31"/>
        <v>PR.DS-320</v>
      </c>
    </row>
    <row r="243" spans="1:7" x14ac:dyDescent="0.25">
      <c r="A243" t="s">
        <v>122</v>
      </c>
      <c r="B243" s="556">
        <v>2</v>
      </c>
      <c r="C243" t="s">
        <v>1501</v>
      </c>
      <c r="D243" t="s">
        <v>1542</v>
      </c>
      <c r="E243" s="556">
        <f ca="1">VLOOKUP(A243,Data!C:I,7,FALSE)</f>
        <v>0</v>
      </c>
      <c r="F243" s="636" t="str">
        <f t="shared" si="30"/>
        <v>PR.DS-72</v>
      </c>
      <c r="G243" s="636" t="str">
        <f t="shared" ca="1" si="31"/>
        <v>PR.DS-720</v>
      </c>
    </row>
    <row r="244" spans="1:7" x14ac:dyDescent="0.25">
      <c r="A244" t="s">
        <v>122</v>
      </c>
      <c r="B244" s="556">
        <v>2</v>
      </c>
      <c r="C244" t="s">
        <v>1501</v>
      </c>
      <c r="D244" t="s">
        <v>1544</v>
      </c>
      <c r="E244" s="556">
        <f ca="1">VLOOKUP(A244,Data!C:I,7,FALSE)</f>
        <v>0</v>
      </c>
      <c r="F244" s="636" t="str">
        <f t="shared" si="30"/>
        <v>PR.IP-32</v>
      </c>
      <c r="G244" s="636" t="str">
        <f t="shared" ca="1" si="31"/>
        <v>PR.IP-320</v>
      </c>
    </row>
    <row r="245" spans="1:7" x14ac:dyDescent="0.25">
      <c r="A245" t="s">
        <v>125</v>
      </c>
      <c r="B245" s="556">
        <v>2</v>
      </c>
      <c r="C245" t="s">
        <v>1501</v>
      </c>
      <c r="D245" t="s">
        <v>1540</v>
      </c>
      <c r="E245" s="556">
        <f ca="1">VLOOKUP(A245,Data!C:I,7,FALSE)</f>
        <v>0</v>
      </c>
      <c r="F245" s="636" t="str">
        <f t="shared" si="30"/>
        <v>PR.DS-32</v>
      </c>
      <c r="G245" s="636" t="str">
        <f t="shared" ca="1" si="31"/>
        <v>PR.DS-320</v>
      </c>
    </row>
    <row r="246" spans="1:7" x14ac:dyDescent="0.25">
      <c r="A246" t="s">
        <v>125</v>
      </c>
      <c r="B246" s="556">
        <v>2</v>
      </c>
      <c r="C246" t="s">
        <v>1501</v>
      </c>
      <c r="D246" t="s">
        <v>1557</v>
      </c>
      <c r="E246" s="556">
        <f ca="1">VLOOKUP(A246,Data!C:I,7,FALSE)</f>
        <v>0</v>
      </c>
      <c r="F246" s="636" t="str">
        <f t="shared" si="30"/>
        <v>PR.IP-22</v>
      </c>
      <c r="G246" s="636" t="str">
        <f t="shared" ca="1" si="31"/>
        <v>PR.IP-220</v>
      </c>
    </row>
    <row r="247" spans="1:7" x14ac:dyDescent="0.25">
      <c r="A247" t="s">
        <v>125</v>
      </c>
      <c r="B247" s="556">
        <v>2</v>
      </c>
      <c r="C247" t="s">
        <v>1501</v>
      </c>
      <c r="D247" t="s">
        <v>1544</v>
      </c>
      <c r="E247" s="556">
        <f ca="1">VLOOKUP(A247,Data!C:I,7,FALSE)</f>
        <v>0</v>
      </c>
      <c r="F247" s="636" t="str">
        <f t="shared" si="30"/>
        <v>PR.IP-32</v>
      </c>
      <c r="G247" s="636" t="str">
        <f t="shared" ca="1" si="31"/>
        <v>PR.IP-320</v>
      </c>
    </row>
    <row r="248" spans="1:7" x14ac:dyDescent="0.25">
      <c r="A248" t="s">
        <v>125</v>
      </c>
      <c r="B248" s="556">
        <v>2</v>
      </c>
      <c r="C248" t="s">
        <v>1501</v>
      </c>
      <c r="D248" t="s">
        <v>1553</v>
      </c>
      <c r="E248" s="556">
        <f ca="1">VLOOKUP(A248,Data!C:I,7,FALSE)</f>
        <v>0</v>
      </c>
      <c r="F248" s="636" t="str">
        <f t="shared" si="30"/>
        <v>PR.IP-62</v>
      </c>
      <c r="G248" s="636" t="str">
        <f t="shared" ca="1" si="31"/>
        <v>PR.IP-620</v>
      </c>
    </row>
    <row r="249" spans="1:7" x14ac:dyDescent="0.25">
      <c r="A249" t="s">
        <v>128</v>
      </c>
      <c r="B249" s="556">
        <v>3</v>
      </c>
      <c r="C249" t="s">
        <v>1501</v>
      </c>
      <c r="D249" t="s">
        <v>1542</v>
      </c>
      <c r="E249" s="556">
        <f ca="1">VLOOKUP(A249,Data!C:I,7,FALSE)</f>
        <v>0</v>
      </c>
      <c r="F249" s="636" t="str">
        <f t="shared" si="30"/>
        <v>PR.DS-73</v>
      </c>
      <c r="G249" s="636" t="str">
        <f t="shared" ca="1" si="31"/>
        <v>PR.DS-730</v>
      </c>
    </row>
    <row r="250" spans="1:7" x14ac:dyDescent="0.25">
      <c r="A250" t="s">
        <v>128</v>
      </c>
      <c r="B250" s="556">
        <v>3</v>
      </c>
      <c r="C250" t="s">
        <v>1501</v>
      </c>
      <c r="D250" t="s">
        <v>1544</v>
      </c>
      <c r="E250" s="556">
        <f ca="1">VLOOKUP(A250,Data!C:I,7,FALSE)</f>
        <v>0</v>
      </c>
      <c r="F250" s="636" t="str">
        <f t="shared" si="30"/>
        <v>PR.IP-33</v>
      </c>
      <c r="G250" s="636" t="str">
        <f t="shared" ca="1" si="31"/>
        <v>PR.IP-330</v>
      </c>
    </row>
    <row r="251" spans="1:7" x14ac:dyDescent="0.25">
      <c r="A251" t="s">
        <v>130</v>
      </c>
      <c r="B251" s="556">
        <v>3</v>
      </c>
      <c r="C251" t="s">
        <v>1501</v>
      </c>
      <c r="D251" t="s">
        <v>1540</v>
      </c>
      <c r="E251" s="556">
        <f ca="1">VLOOKUP(A251,Data!C:I,7,FALSE)</f>
        <v>0</v>
      </c>
      <c r="F251" s="636" t="str">
        <f t="shared" si="30"/>
        <v>PR.DS-33</v>
      </c>
      <c r="G251" s="636" t="str">
        <f t="shared" ca="1" si="31"/>
        <v>PR.DS-330</v>
      </c>
    </row>
    <row r="252" spans="1:7" x14ac:dyDescent="0.25">
      <c r="A252" t="s">
        <v>130</v>
      </c>
      <c r="B252" s="556">
        <v>3</v>
      </c>
      <c r="C252" t="s">
        <v>1501</v>
      </c>
      <c r="D252" t="s">
        <v>1544</v>
      </c>
      <c r="E252" s="556">
        <f ca="1">VLOOKUP(A252,Data!C:I,7,FALSE)</f>
        <v>0</v>
      </c>
      <c r="F252" s="636" t="str">
        <f t="shared" si="30"/>
        <v>PR.IP-33</v>
      </c>
      <c r="G252" s="636" t="str">
        <f t="shared" ca="1" si="31"/>
        <v>PR.IP-330</v>
      </c>
    </row>
    <row r="253" spans="1:7" x14ac:dyDescent="0.25">
      <c r="A253" t="s">
        <v>130</v>
      </c>
      <c r="B253" s="556">
        <v>3</v>
      </c>
      <c r="C253" t="s">
        <v>1501</v>
      </c>
      <c r="D253" t="s">
        <v>1556</v>
      </c>
      <c r="E253" s="556">
        <f ca="1">VLOOKUP(A253,Data!C:I,7,FALSE)</f>
        <v>0</v>
      </c>
      <c r="F253" s="636" t="str">
        <f t="shared" si="30"/>
        <v>PR.MA-13</v>
      </c>
      <c r="G253" s="636" t="str">
        <f t="shared" ca="1" si="31"/>
        <v>PR.MA-130</v>
      </c>
    </row>
    <row r="254" spans="1:7" x14ac:dyDescent="0.25">
      <c r="A254" t="s">
        <v>133</v>
      </c>
      <c r="B254" s="556">
        <v>2</v>
      </c>
      <c r="C254" t="s">
        <v>1501</v>
      </c>
      <c r="D254" t="s">
        <v>1540</v>
      </c>
      <c r="E254" s="556">
        <f ca="1">VLOOKUP(A254,Data!C:I,7,FALSE)</f>
        <v>0</v>
      </c>
      <c r="F254" s="636" t="str">
        <f t="shared" si="30"/>
        <v>PR.DS-32</v>
      </c>
      <c r="G254" s="636" t="str">
        <f t="shared" ca="1" si="31"/>
        <v>PR.DS-320</v>
      </c>
    </row>
    <row r="255" spans="1:7" x14ac:dyDescent="0.25">
      <c r="A255" t="s">
        <v>133</v>
      </c>
      <c r="B255" s="556">
        <v>2</v>
      </c>
      <c r="C255" t="s">
        <v>1501</v>
      </c>
      <c r="D255" t="s">
        <v>1544</v>
      </c>
      <c r="E255" s="556">
        <f ca="1">VLOOKUP(A255,Data!C:I,7,FALSE)</f>
        <v>0</v>
      </c>
      <c r="F255" s="636" t="str">
        <f t="shared" si="30"/>
        <v>PR.IP-32</v>
      </c>
      <c r="G255" s="636" t="str">
        <f t="shared" ca="1" si="31"/>
        <v>PR.IP-320</v>
      </c>
    </row>
    <row r="256" spans="1:7" x14ac:dyDescent="0.25">
      <c r="A256" t="s">
        <v>136</v>
      </c>
      <c r="B256" s="556">
        <v>2</v>
      </c>
      <c r="C256" t="s">
        <v>1501</v>
      </c>
      <c r="D256" t="s">
        <v>1540</v>
      </c>
      <c r="E256" s="556">
        <f ca="1">VLOOKUP(A256,Data!C:I,7,FALSE)</f>
        <v>0</v>
      </c>
      <c r="F256" s="636" t="str">
        <f t="shared" si="30"/>
        <v>PR.DS-32</v>
      </c>
      <c r="G256" s="636" t="str">
        <f t="shared" ca="1" si="31"/>
        <v>PR.DS-320</v>
      </c>
    </row>
    <row r="257" spans="1:7" x14ac:dyDescent="0.25">
      <c r="A257" t="s">
        <v>136</v>
      </c>
      <c r="B257" s="556">
        <v>2</v>
      </c>
      <c r="C257" t="s">
        <v>1501</v>
      </c>
      <c r="D257" t="s">
        <v>1556</v>
      </c>
      <c r="E257" s="556">
        <f ca="1">VLOOKUP(A257,Data!C:I,7,FALSE)</f>
        <v>0</v>
      </c>
      <c r="F257" s="636" t="str">
        <f t="shared" si="30"/>
        <v>PR.MA-12</v>
      </c>
      <c r="G257" s="636" t="str">
        <f t="shared" ca="1" si="31"/>
        <v>PR.MA-120</v>
      </c>
    </row>
    <row r="258" spans="1:7" x14ac:dyDescent="0.25">
      <c r="A258" t="s">
        <v>139</v>
      </c>
      <c r="B258" s="556">
        <v>3</v>
      </c>
      <c r="C258" t="s">
        <v>1501</v>
      </c>
      <c r="D258" t="s">
        <v>1540</v>
      </c>
      <c r="E258" s="556">
        <f ca="1">VLOOKUP(A258,Data!C:I,7,FALSE)</f>
        <v>0</v>
      </c>
      <c r="F258" s="636" t="str">
        <f t="shared" si="30"/>
        <v>PR.DS-33</v>
      </c>
      <c r="G258" s="636" t="str">
        <f t="shared" ca="1" si="31"/>
        <v>PR.DS-330</v>
      </c>
    </row>
    <row r="259" spans="1:7" x14ac:dyDescent="0.25">
      <c r="A259" t="s">
        <v>139</v>
      </c>
      <c r="B259" s="556">
        <v>3</v>
      </c>
      <c r="C259" t="s">
        <v>1501</v>
      </c>
      <c r="D259" t="s">
        <v>1544</v>
      </c>
      <c r="E259" s="556">
        <f ca="1">VLOOKUP(A259,Data!C:I,7,FALSE)</f>
        <v>0</v>
      </c>
      <c r="F259" s="636" t="str">
        <f t="shared" ref="F259:F322" si="32">CONCATENATE($D259,$B259)</f>
        <v>PR.IP-33</v>
      </c>
      <c r="G259" s="636" t="str">
        <f t="shared" ref="G259:G322" ca="1" si="33">_xlfn.IFNA(CONCATENATE(F259,$E259),CONCATENATE(F259,$E259,0))</f>
        <v>PR.IP-330</v>
      </c>
    </row>
    <row r="260" spans="1:7" x14ac:dyDescent="0.25">
      <c r="A260" t="s">
        <v>139</v>
      </c>
      <c r="B260" s="556">
        <v>3</v>
      </c>
      <c r="C260" t="s">
        <v>1501</v>
      </c>
      <c r="D260" t="s">
        <v>1558</v>
      </c>
      <c r="E260" s="556">
        <f ca="1">VLOOKUP(A260,Data!C:I,7,FALSE)</f>
        <v>0</v>
      </c>
      <c r="F260" s="636" t="str">
        <f t="shared" si="32"/>
        <v>PR.IP-53</v>
      </c>
      <c r="G260" s="636" t="str">
        <f t="shared" ca="1" si="33"/>
        <v>PR.IP-530</v>
      </c>
    </row>
    <row r="261" spans="1:7" x14ac:dyDescent="0.25">
      <c r="A261" t="s">
        <v>143</v>
      </c>
      <c r="B261" s="556">
        <v>3</v>
      </c>
      <c r="C261" t="s">
        <v>446</v>
      </c>
      <c r="D261" t="s">
        <v>1529</v>
      </c>
      <c r="E261" s="556">
        <f ca="1">VLOOKUP(A261,Data!C:I,7,FALSE)</f>
        <v>0</v>
      </c>
      <c r="F261" s="636" t="str">
        <f t="shared" si="32"/>
        <v>ID.AM-63</v>
      </c>
      <c r="G261" s="636" t="str">
        <f t="shared" ca="1" si="33"/>
        <v>ID.AM-630</v>
      </c>
    </row>
    <row r="262" spans="1:7" x14ac:dyDescent="0.25">
      <c r="A262" t="s">
        <v>143</v>
      </c>
      <c r="B262" s="556">
        <v>3</v>
      </c>
      <c r="C262" t="s">
        <v>446</v>
      </c>
      <c r="D262" t="s">
        <v>1530</v>
      </c>
      <c r="E262" s="556">
        <f ca="1">VLOOKUP(A262,Data!C:I,7,FALSE)</f>
        <v>0</v>
      </c>
      <c r="F262" s="636" t="str">
        <f t="shared" si="32"/>
        <v>ID.GV-23</v>
      </c>
      <c r="G262" s="636" t="str">
        <f t="shared" ca="1" si="33"/>
        <v>ID.GV-230</v>
      </c>
    </row>
    <row r="263" spans="1:7" x14ac:dyDescent="0.25">
      <c r="A263" t="s">
        <v>145</v>
      </c>
      <c r="B263" s="556">
        <v>3</v>
      </c>
      <c r="C263" t="s">
        <v>1501</v>
      </c>
      <c r="D263" t="s">
        <v>1531</v>
      </c>
      <c r="E263" s="556">
        <f ca="1">VLOOKUP(A263,Data!C:I,7,FALSE)</f>
        <v>0</v>
      </c>
      <c r="F263" s="636" t="str">
        <f t="shared" si="32"/>
        <v>PR.IP-83</v>
      </c>
      <c r="G263" s="636" t="str">
        <f t="shared" ca="1" si="33"/>
        <v>PR.IP-830</v>
      </c>
    </row>
    <row r="264" spans="1:7" x14ac:dyDescent="0.25">
      <c r="A264" t="s">
        <v>362</v>
      </c>
      <c r="B264" s="556">
        <v>1</v>
      </c>
      <c r="C264" t="s">
        <v>446</v>
      </c>
      <c r="D264" t="s">
        <v>1559</v>
      </c>
      <c r="E264" s="556">
        <f ca="1">VLOOKUP(A264,Data!C:I,7,FALSE)</f>
        <v>0</v>
      </c>
      <c r="F264" s="636" t="str">
        <f t="shared" si="32"/>
        <v>ID.BE-21</v>
      </c>
      <c r="G264" s="636" t="str">
        <f t="shared" ca="1" si="33"/>
        <v>ID.BE-210</v>
      </c>
    </row>
    <row r="265" spans="1:7" x14ac:dyDescent="0.25">
      <c r="A265" t="s">
        <v>362</v>
      </c>
      <c r="B265" s="556">
        <v>1</v>
      </c>
      <c r="C265" t="s">
        <v>446</v>
      </c>
      <c r="D265" t="s">
        <v>1551</v>
      </c>
      <c r="E265" s="556">
        <f ca="1">VLOOKUP(A265,Data!C:I,7,FALSE)</f>
        <v>0</v>
      </c>
      <c r="F265" s="636" t="str">
        <f t="shared" si="32"/>
        <v>ID.BE-41</v>
      </c>
      <c r="G265" s="636" t="str">
        <f t="shared" ca="1" si="33"/>
        <v>ID.BE-410</v>
      </c>
    </row>
    <row r="266" spans="1:7" x14ac:dyDescent="0.25">
      <c r="A266" t="s">
        <v>363</v>
      </c>
      <c r="B266" s="556">
        <v>1</v>
      </c>
      <c r="C266" t="s">
        <v>446</v>
      </c>
      <c r="D266" t="s">
        <v>1554</v>
      </c>
      <c r="E266" s="556">
        <f ca="1">VLOOKUP(A266,Data!C:I,7,FALSE)</f>
        <v>0</v>
      </c>
      <c r="F266" s="636" t="str">
        <f t="shared" si="32"/>
        <v>ID.AM-31</v>
      </c>
      <c r="G266" s="636" t="str">
        <f t="shared" ca="1" si="33"/>
        <v>ID.AM-310</v>
      </c>
    </row>
    <row r="267" spans="1:7" x14ac:dyDescent="0.25">
      <c r="A267" t="s">
        <v>363</v>
      </c>
      <c r="B267" s="556">
        <v>1</v>
      </c>
      <c r="C267" t="s">
        <v>446</v>
      </c>
      <c r="D267" t="s">
        <v>1551</v>
      </c>
      <c r="E267" s="556">
        <f ca="1">VLOOKUP(A267,Data!C:I,7,FALSE)</f>
        <v>0</v>
      </c>
      <c r="F267" s="636" t="str">
        <f t="shared" si="32"/>
        <v>ID.BE-41</v>
      </c>
      <c r="G267" s="636" t="str">
        <f t="shared" ca="1" si="33"/>
        <v>ID.BE-410</v>
      </c>
    </row>
    <row r="268" spans="1:7" x14ac:dyDescent="0.25">
      <c r="A268" t="s">
        <v>364</v>
      </c>
      <c r="B268" s="556">
        <v>1</v>
      </c>
      <c r="C268" t="s">
        <v>446</v>
      </c>
      <c r="D268" t="s">
        <v>1551</v>
      </c>
      <c r="E268" s="556">
        <f ca="1">VLOOKUP(A268,Data!C:I,7,FALSE)</f>
        <v>0</v>
      </c>
      <c r="F268" s="636" t="str">
        <f t="shared" si="32"/>
        <v>ID.BE-41</v>
      </c>
      <c r="G268" s="636" t="str">
        <f t="shared" ca="1" si="33"/>
        <v>ID.BE-410</v>
      </c>
    </row>
    <row r="269" spans="1:7" x14ac:dyDescent="0.25">
      <c r="A269" t="s">
        <v>365</v>
      </c>
      <c r="B269" s="556">
        <v>1</v>
      </c>
      <c r="C269" t="s">
        <v>446</v>
      </c>
      <c r="D269" t="s">
        <v>1548</v>
      </c>
      <c r="E269" s="556">
        <f ca="1">VLOOKUP(A269,Data!C:I,7,FALSE)</f>
        <v>0</v>
      </c>
      <c r="F269" s="636" t="str">
        <f t="shared" si="32"/>
        <v>ID.AM-11</v>
      </c>
      <c r="G269" s="636" t="str">
        <f t="shared" ca="1" si="33"/>
        <v>ID.AM-110</v>
      </c>
    </row>
    <row r="270" spans="1:7" x14ac:dyDescent="0.25">
      <c r="A270" t="s">
        <v>365</v>
      </c>
      <c r="B270" s="556">
        <v>1</v>
      </c>
      <c r="C270" t="s">
        <v>446</v>
      </c>
      <c r="D270" t="s">
        <v>1551</v>
      </c>
      <c r="E270" s="556">
        <f ca="1">VLOOKUP(A270,Data!C:I,7,FALSE)</f>
        <v>0</v>
      </c>
      <c r="F270" s="636" t="str">
        <f t="shared" si="32"/>
        <v>ID.BE-41</v>
      </c>
      <c r="G270" s="636" t="str">
        <f t="shared" ca="1" si="33"/>
        <v>ID.BE-410</v>
      </c>
    </row>
    <row r="271" spans="1:7" x14ac:dyDescent="0.25">
      <c r="A271" t="s">
        <v>366</v>
      </c>
      <c r="B271" s="556">
        <v>2</v>
      </c>
      <c r="C271" t="s">
        <v>446</v>
      </c>
      <c r="D271" t="s">
        <v>1549</v>
      </c>
      <c r="E271" s="556">
        <f ca="1">VLOOKUP(A271,Data!C:I,7,FALSE)</f>
        <v>0</v>
      </c>
      <c r="F271" s="636" t="str">
        <f t="shared" si="32"/>
        <v>ID.AM-22</v>
      </c>
      <c r="G271" s="636" t="str">
        <f t="shared" ca="1" si="33"/>
        <v>ID.AM-220</v>
      </c>
    </row>
    <row r="272" spans="1:7" x14ac:dyDescent="0.25">
      <c r="A272" t="s">
        <v>366</v>
      </c>
      <c r="B272" s="556">
        <v>2</v>
      </c>
      <c r="C272" t="s">
        <v>446</v>
      </c>
      <c r="D272" t="s">
        <v>1551</v>
      </c>
      <c r="E272" s="556">
        <f ca="1">VLOOKUP(A272,Data!C:I,7,FALSE)</f>
        <v>0</v>
      </c>
      <c r="F272" s="636" t="str">
        <f t="shared" si="32"/>
        <v>ID.BE-42</v>
      </c>
      <c r="G272" s="636" t="str">
        <f t="shared" ca="1" si="33"/>
        <v>ID.BE-420</v>
      </c>
    </row>
    <row r="273" spans="1:7" x14ac:dyDescent="0.25">
      <c r="A273" t="s">
        <v>367</v>
      </c>
      <c r="B273" s="556">
        <v>2</v>
      </c>
      <c r="C273" t="s">
        <v>446</v>
      </c>
      <c r="D273" t="s">
        <v>1560</v>
      </c>
      <c r="E273" s="556">
        <f ca="1">VLOOKUP(A273,Data!C:I,7,FALSE)</f>
        <v>0</v>
      </c>
      <c r="F273" s="636" t="str">
        <f t="shared" si="32"/>
        <v>ID.AM-42</v>
      </c>
      <c r="G273" s="636" t="str">
        <f t="shared" ca="1" si="33"/>
        <v>ID.AM-420</v>
      </c>
    </row>
    <row r="274" spans="1:7" x14ac:dyDescent="0.25">
      <c r="A274" t="s">
        <v>367</v>
      </c>
      <c r="B274" s="556">
        <v>2</v>
      </c>
      <c r="C274" t="s">
        <v>446</v>
      </c>
      <c r="D274" t="s">
        <v>1561</v>
      </c>
      <c r="E274" s="556">
        <f ca="1">VLOOKUP(A274,Data!C:I,7,FALSE)</f>
        <v>0</v>
      </c>
      <c r="F274" s="636" t="str">
        <f t="shared" si="32"/>
        <v>ID.BE-12</v>
      </c>
      <c r="G274" s="636" t="str">
        <f t="shared" ca="1" si="33"/>
        <v>ID.BE-120</v>
      </c>
    </row>
    <row r="275" spans="1:7" x14ac:dyDescent="0.25">
      <c r="A275" t="s">
        <v>367</v>
      </c>
      <c r="B275" s="556">
        <v>2</v>
      </c>
      <c r="C275" t="s">
        <v>446</v>
      </c>
      <c r="D275" t="s">
        <v>1551</v>
      </c>
      <c r="E275" s="556">
        <f ca="1">VLOOKUP(A275,Data!C:I,7,FALSE)</f>
        <v>0</v>
      </c>
      <c r="F275" s="636" t="str">
        <f t="shared" si="32"/>
        <v>ID.BE-42</v>
      </c>
      <c r="G275" s="636" t="str">
        <f t="shared" ca="1" si="33"/>
        <v>ID.BE-420</v>
      </c>
    </row>
    <row r="276" spans="1:7" x14ac:dyDescent="0.25">
      <c r="A276" t="s">
        <v>367</v>
      </c>
      <c r="B276" s="556">
        <v>2</v>
      </c>
      <c r="C276" t="s">
        <v>446</v>
      </c>
      <c r="D276" t="s">
        <v>1543</v>
      </c>
      <c r="E276" s="556">
        <f ca="1">VLOOKUP(A276,Data!C:I,7,FALSE)</f>
        <v>0</v>
      </c>
      <c r="F276" s="636" t="str">
        <f t="shared" si="32"/>
        <v>ID.SC-22</v>
      </c>
      <c r="G276" s="636" t="str">
        <f t="shared" ca="1" si="33"/>
        <v>ID.SC-220</v>
      </c>
    </row>
    <row r="277" spans="1:7" x14ac:dyDescent="0.25">
      <c r="A277" t="s">
        <v>368</v>
      </c>
      <c r="B277" s="556">
        <v>2</v>
      </c>
      <c r="C277" t="s">
        <v>446</v>
      </c>
      <c r="D277" t="s">
        <v>1551</v>
      </c>
      <c r="E277" s="556">
        <f ca="1">VLOOKUP(A277,Data!C:I,7,FALSE)</f>
        <v>0</v>
      </c>
      <c r="F277" s="636" t="str">
        <f t="shared" si="32"/>
        <v>ID.BE-42</v>
      </c>
      <c r="G277" s="636" t="str">
        <f t="shared" ca="1" si="33"/>
        <v>ID.BE-420</v>
      </c>
    </row>
    <row r="278" spans="1:7" x14ac:dyDescent="0.25">
      <c r="A278" t="s">
        <v>369</v>
      </c>
      <c r="B278" s="556">
        <v>3</v>
      </c>
      <c r="C278" t="s">
        <v>446</v>
      </c>
      <c r="D278" t="s">
        <v>1559</v>
      </c>
      <c r="E278" s="556">
        <f ca="1">VLOOKUP(A278,Data!C:I,7,FALSE)</f>
        <v>0</v>
      </c>
      <c r="F278" s="636" t="str">
        <f t="shared" si="32"/>
        <v>ID.BE-23</v>
      </c>
      <c r="G278" s="636" t="str">
        <f t="shared" ca="1" si="33"/>
        <v>ID.BE-230</v>
      </c>
    </row>
    <row r="279" spans="1:7" x14ac:dyDescent="0.25">
      <c r="A279" t="s">
        <v>369</v>
      </c>
      <c r="B279" s="556">
        <v>3</v>
      </c>
      <c r="C279" t="s">
        <v>446</v>
      </c>
      <c r="D279" t="s">
        <v>1551</v>
      </c>
      <c r="E279" s="556">
        <f ca="1">VLOOKUP(A279,Data!C:I,7,FALSE)</f>
        <v>0</v>
      </c>
      <c r="F279" s="636" t="str">
        <f t="shared" si="32"/>
        <v>ID.BE-43</v>
      </c>
      <c r="G279" s="636" t="str">
        <f t="shared" ca="1" si="33"/>
        <v>ID.BE-430</v>
      </c>
    </row>
    <row r="280" spans="1:7" x14ac:dyDescent="0.25">
      <c r="A280" t="s">
        <v>370</v>
      </c>
      <c r="B280" s="556">
        <v>1</v>
      </c>
      <c r="C280" t="s">
        <v>446</v>
      </c>
      <c r="D280" t="s">
        <v>1548</v>
      </c>
      <c r="E280" s="556">
        <f ca="1">VLOOKUP(A280,Data!C:I,7,FALSE)</f>
        <v>0</v>
      </c>
      <c r="F280" s="636" t="str">
        <f t="shared" si="32"/>
        <v>ID.AM-11</v>
      </c>
      <c r="G280" s="636" t="str">
        <f t="shared" ca="1" si="33"/>
        <v>ID.AM-110</v>
      </c>
    </row>
    <row r="281" spans="1:7" x14ac:dyDescent="0.25">
      <c r="A281" t="s">
        <v>370</v>
      </c>
      <c r="B281" s="556">
        <v>1</v>
      </c>
      <c r="C281" t="s">
        <v>446</v>
      </c>
      <c r="D281" t="s">
        <v>1549</v>
      </c>
      <c r="E281" s="556">
        <f ca="1">VLOOKUP(A281,Data!C:I,7,FALSE)</f>
        <v>0</v>
      </c>
      <c r="F281" s="636" t="str">
        <f t="shared" si="32"/>
        <v>ID.AM-21</v>
      </c>
      <c r="G281" s="636" t="str">
        <f t="shared" ca="1" si="33"/>
        <v>ID.AM-210</v>
      </c>
    </row>
    <row r="282" spans="1:7" x14ac:dyDescent="0.25">
      <c r="A282" t="s">
        <v>370</v>
      </c>
      <c r="B282" s="556">
        <v>1</v>
      </c>
      <c r="C282" t="s">
        <v>446</v>
      </c>
      <c r="D282" t="s">
        <v>1554</v>
      </c>
      <c r="E282" s="556">
        <f ca="1">VLOOKUP(A282,Data!C:I,7,FALSE)</f>
        <v>0</v>
      </c>
      <c r="F282" s="636" t="str">
        <f t="shared" si="32"/>
        <v>ID.AM-31</v>
      </c>
      <c r="G282" s="636" t="str">
        <f t="shared" ca="1" si="33"/>
        <v>ID.AM-310</v>
      </c>
    </row>
    <row r="283" spans="1:7" x14ac:dyDescent="0.25">
      <c r="A283" t="s">
        <v>370</v>
      </c>
      <c r="B283" s="556">
        <v>1</v>
      </c>
      <c r="C283" t="s">
        <v>446</v>
      </c>
      <c r="D283" t="s">
        <v>1560</v>
      </c>
      <c r="E283" s="556">
        <f ca="1">VLOOKUP(A283,Data!C:I,7,FALSE)</f>
        <v>0</v>
      </c>
      <c r="F283" s="636" t="str">
        <f t="shared" si="32"/>
        <v>ID.AM-41</v>
      </c>
      <c r="G283" s="636" t="str">
        <f t="shared" ca="1" si="33"/>
        <v>ID.AM-410</v>
      </c>
    </row>
    <row r="284" spans="1:7" x14ac:dyDescent="0.25">
      <c r="A284" t="s">
        <v>370</v>
      </c>
      <c r="B284" s="556">
        <v>1</v>
      </c>
      <c r="C284" t="s">
        <v>446</v>
      </c>
      <c r="D284" t="s">
        <v>1551</v>
      </c>
      <c r="E284" s="556">
        <f ca="1">VLOOKUP(A284,Data!C:I,7,FALSE)</f>
        <v>0</v>
      </c>
      <c r="F284" s="636" t="str">
        <f t="shared" si="32"/>
        <v>ID.BE-41</v>
      </c>
      <c r="G284" s="636" t="str">
        <f t="shared" ca="1" si="33"/>
        <v>ID.BE-410</v>
      </c>
    </row>
    <row r="285" spans="1:7" x14ac:dyDescent="0.25">
      <c r="A285" t="s">
        <v>370</v>
      </c>
      <c r="B285" s="556">
        <v>1</v>
      </c>
      <c r="C285" t="s">
        <v>446</v>
      </c>
      <c r="D285" t="s">
        <v>1562</v>
      </c>
      <c r="E285" s="556">
        <f ca="1">VLOOKUP(A285,Data!C:I,7,FALSE)</f>
        <v>0</v>
      </c>
      <c r="F285" s="636" t="str">
        <f t="shared" si="32"/>
        <v>ID.GV-11</v>
      </c>
      <c r="G285" s="636" t="str">
        <f t="shared" ca="1" si="33"/>
        <v>ID.GV-110</v>
      </c>
    </row>
    <row r="286" spans="1:7" x14ac:dyDescent="0.25">
      <c r="A286" t="s">
        <v>370</v>
      </c>
      <c r="B286" s="556">
        <v>1</v>
      </c>
      <c r="C286" t="s">
        <v>446</v>
      </c>
      <c r="D286" t="s">
        <v>1563</v>
      </c>
      <c r="E286" s="556">
        <f ca="1">VLOOKUP(A286,Data!C:I,7,FALSE)</f>
        <v>0</v>
      </c>
      <c r="F286" s="636" t="str">
        <f t="shared" si="32"/>
        <v>ID.SC-11</v>
      </c>
      <c r="G286" s="636" t="str">
        <f t="shared" ca="1" si="33"/>
        <v>ID.SC-110</v>
      </c>
    </row>
    <row r="287" spans="1:7" x14ac:dyDescent="0.25">
      <c r="A287" t="s">
        <v>371</v>
      </c>
      <c r="B287" s="556">
        <v>1</v>
      </c>
      <c r="C287" t="s">
        <v>446</v>
      </c>
      <c r="D287" t="s">
        <v>1548</v>
      </c>
      <c r="E287" s="556">
        <f ca="1">VLOOKUP(A287,Data!C:I,7,FALSE)</f>
        <v>0</v>
      </c>
      <c r="F287" s="636" t="str">
        <f t="shared" si="32"/>
        <v>ID.AM-11</v>
      </c>
      <c r="G287" s="636" t="str">
        <f t="shared" ca="1" si="33"/>
        <v>ID.AM-110</v>
      </c>
    </row>
    <row r="288" spans="1:7" x14ac:dyDescent="0.25">
      <c r="A288" t="s">
        <v>371</v>
      </c>
      <c r="B288" s="556">
        <v>1</v>
      </c>
      <c r="C288" t="s">
        <v>446</v>
      </c>
      <c r="D288" t="s">
        <v>1549</v>
      </c>
      <c r="E288" s="556">
        <f ca="1">VLOOKUP(A288,Data!C:I,7,FALSE)</f>
        <v>0</v>
      </c>
      <c r="F288" s="636" t="str">
        <f t="shared" si="32"/>
        <v>ID.AM-21</v>
      </c>
      <c r="G288" s="636" t="str">
        <f t="shared" ca="1" si="33"/>
        <v>ID.AM-210</v>
      </c>
    </row>
    <row r="289" spans="1:7" x14ac:dyDescent="0.25">
      <c r="A289" t="s">
        <v>371</v>
      </c>
      <c r="B289" s="556">
        <v>1</v>
      </c>
      <c r="C289" t="s">
        <v>446</v>
      </c>
      <c r="D289" t="s">
        <v>1554</v>
      </c>
      <c r="E289" s="556">
        <f ca="1">VLOOKUP(A289,Data!C:I,7,FALSE)</f>
        <v>0</v>
      </c>
      <c r="F289" s="636" t="str">
        <f t="shared" si="32"/>
        <v>ID.AM-31</v>
      </c>
      <c r="G289" s="636" t="str">
        <f t="shared" ca="1" si="33"/>
        <v>ID.AM-310</v>
      </c>
    </row>
    <row r="290" spans="1:7" x14ac:dyDescent="0.25">
      <c r="A290" t="s">
        <v>371</v>
      </c>
      <c r="B290" s="556">
        <v>1</v>
      </c>
      <c r="C290" t="s">
        <v>446</v>
      </c>
      <c r="D290" t="s">
        <v>1560</v>
      </c>
      <c r="E290" s="556">
        <f ca="1">VLOOKUP(A290,Data!C:I,7,FALSE)</f>
        <v>0</v>
      </c>
      <c r="F290" s="636" t="str">
        <f t="shared" si="32"/>
        <v>ID.AM-41</v>
      </c>
      <c r="G290" s="636" t="str">
        <f t="shared" ca="1" si="33"/>
        <v>ID.AM-410</v>
      </c>
    </row>
    <row r="291" spans="1:7" x14ac:dyDescent="0.25">
      <c r="A291" t="s">
        <v>371</v>
      </c>
      <c r="B291" s="556">
        <v>1</v>
      </c>
      <c r="C291" t="s">
        <v>446</v>
      </c>
      <c r="D291" t="s">
        <v>1551</v>
      </c>
      <c r="E291" s="556">
        <f ca="1">VLOOKUP(A291,Data!C:I,7,FALSE)</f>
        <v>0</v>
      </c>
      <c r="F291" s="636" t="str">
        <f t="shared" si="32"/>
        <v>ID.BE-41</v>
      </c>
      <c r="G291" s="636" t="str">
        <f t="shared" ca="1" si="33"/>
        <v>ID.BE-410</v>
      </c>
    </row>
    <row r="292" spans="1:7" x14ac:dyDescent="0.25">
      <c r="A292" t="s">
        <v>371</v>
      </c>
      <c r="B292" s="556">
        <v>1</v>
      </c>
      <c r="C292" t="s">
        <v>446</v>
      </c>
      <c r="D292" t="s">
        <v>1562</v>
      </c>
      <c r="E292" s="556">
        <f ca="1">VLOOKUP(A292,Data!C:I,7,FALSE)</f>
        <v>0</v>
      </c>
      <c r="F292" s="636" t="str">
        <f t="shared" si="32"/>
        <v>ID.GV-11</v>
      </c>
      <c r="G292" s="636" t="str">
        <f t="shared" ca="1" si="33"/>
        <v>ID.GV-110</v>
      </c>
    </row>
    <row r="293" spans="1:7" x14ac:dyDescent="0.25">
      <c r="A293" t="s">
        <v>371</v>
      </c>
      <c r="B293" s="556">
        <v>1</v>
      </c>
      <c r="C293" t="s">
        <v>446</v>
      </c>
      <c r="D293" t="s">
        <v>1563</v>
      </c>
      <c r="E293" s="556">
        <f ca="1">VLOOKUP(A293,Data!C:I,7,FALSE)</f>
        <v>0</v>
      </c>
      <c r="F293" s="636" t="str">
        <f t="shared" si="32"/>
        <v>ID.SC-11</v>
      </c>
      <c r="G293" s="636" t="str">
        <f t="shared" ca="1" si="33"/>
        <v>ID.SC-110</v>
      </c>
    </row>
    <row r="294" spans="1:7" x14ac:dyDescent="0.25">
      <c r="A294" t="s">
        <v>372</v>
      </c>
      <c r="B294" s="556">
        <v>2</v>
      </c>
      <c r="C294" t="s">
        <v>446</v>
      </c>
      <c r="D294" t="s">
        <v>1564</v>
      </c>
      <c r="E294" s="556">
        <f ca="1">VLOOKUP(A294,Data!C:I,7,FALSE)</f>
        <v>0</v>
      </c>
      <c r="F294" s="636" t="str">
        <f t="shared" si="32"/>
        <v>ID.BE-32</v>
      </c>
      <c r="G294" s="636" t="str">
        <f t="shared" ca="1" si="33"/>
        <v>ID.BE-320</v>
      </c>
    </row>
    <row r="295" spans="1:7" x14ac:dyDescent="0.25">
      <c r="A295" t="s">
        <v>372</v>
      </c>
      <c r="B295" s="556">
        <v>2</v>
      </c>
      <c r="C295" t="s">
        <v>446</v>
      </c>
      <c r="D295" t="s">
        <v>1562</v>
      </c>
      <c r="E295" s="556">
        <f ca="1">VLOOKUP(A295,Data!C:I,7,FALSE)</f>
        <v>0</v>
      </c>
      <c r="F295" s="636" t="str">
        <f t="shared" si="32"/>
        <v>ID.GV-12</v>
      </c>
      <c r="G295" s="636" t="str">
        <f t="shared" ca="1" si="33"/>
        <v>ID.GV-120</v>
      </c>
    </row>
    <row r="296" spans="1:7" x14ac:dyDescent="0.25">
      <c r="A296" t="s">
        <v>374</v>
      </c>
      <c r="B296" s="556">
        <v>2</v>
      </c>
      <c r="C296" t="s">
        <v>1501</v>
      </c>
      <c r="D296" t="s">
        <v>1565</v>
      </c>
      <c r="E296" s="556">
        <f ca="1">VLOOKUP(A296,Data!C:I,7,FALSE)</f>
        <v>0</v>
      </c>
      <c r="F296" s="636" t="str">
        <f t="shared" si="32"/>
        <v>PR.AT-42</v>
      </c>
      <c r="G296" s="636" t="str">
        <f t="shared" ca="1" si="33"/>
        <v>PR.AT-420</v>
      </c>
    </row>
    <row r="297" spans="1:7" x14ac:dyDescent="0.25">
      <c r="A297" t="s">
        <v>375</v>
      </c>
      <c r="B297" s="556">
        <v>2</v>
      </c>
      <c r="C297" t="s">
        <v>446</v>
      </c>
      <c r="D297" t="s">
        <v>1564</v>
      </c>
      <c r="E297" s="556">
        <f ca="1">VLOOKUP(A297,Data!C:I,7,FALSE)</f>
        <v>0</v>
      </c>
      <c r="F297" s="636" t="str">
        <f t="shared" si="32"/>
        <v>ID.BE-32</v>
      </c>
      <c r="G297" s="636" t="str">
        <f t="shared" ca="1" si="33"/>
        <v>ID.BE-320</v>
      </c>
    </row>
    <row r="298" spans="1:7" x14ac:dyDescent="0.25">
      <c r="A298" t="s">
        <v>376</v>
      </c>
      <c r="B298" s="556">
        <v>2</v>
      </c>
      <c r="C298" t="s">
        <v>446</v>
      </c>
      <c r="D298" t="s">
        <v>1566</v>
      </c>
      <c r="E298" s="556">
        <f ca="1">VLOOKUP(A298,Data!C:I,7,FALSE)</f>
        <v>0</v>
      </c>
      <c r="F298" s="636" t="str">
        <f t="shared" si="32"/>
        <v>ID.GV-42</v>
      </c>
      <c r="G298" s="636" t="str">
        <f t="shared" ca="1" si="33"/>
        <v>ID.GV-420</v>
      </c>
    </row>
    <row r="299" spans="1:7" x14ac:dyDescent="0.25">
      <c r="A299" t="s">
        <v>376</v>
      </c>
      <c r="B299" s="556">
        <v>2</v>
      </c>
      <c r="C299" t="s">
        <v>446</v>
      </c>
      <c r="D299" t="s">
        <v>1567</v>
      </c>
      <c r="E299" s="556">
        <f ca="1">VLOOKUP(A299,Data!C:I,7,FALSE)</f>
        <v>0</v>
      </c>
      <c r="F299" s="636" t="str">
        <f t="shared" si="32"/>
        <v>ID.RM-12</v>
      </c>
      <c r="G299" s="636" t="str">
        <f t="shared" ca="1" si="33"/>
        <v>ID.RM-120</v>
      </c>
    </row>
    <row r="300" spans="1:7" x14ac:dyDescent="0.25">
      <c r="A300" t="s">
        <v>377</v>
      </c>
      <c r="B300" s="556">
        <v>2</v>
      </c>
      <c r="C300" t="s">
        <v>446</v>
      </c>
      <c r="D300" t="s">
        <v>1566</v>
      </c>
      <c r="E300" s="556">
        <f ca="1">VLOOKUP(A300,Data!C:I,7,FALSE)</f>
        <v>0</v>
      </c>
      <c r="F300" s="636" t="str">
        <f t="shared" si="32"/>
        <v>ID.GV-42</v>
      </c>
      <c r="G300" s="636" t="str">
        <f t="shared" ca="1" si="33"/>
        <v>ID.GV-420</v>
      </c>
    </row>
    <row r="301" spans="1:7" x14ac:dyDescent="0.25">
      <c r="A301" t="s">
        <v>377</v>
      </c>
      <c r="B301" s="556">
        <v>2</v>
      </c>
      <c r="C301" t="s">
        <v>446</v>
      </c>
      <c r="D301" t="s">
        <v>1567</v>
      </c>
      <c r="E301" s="556">
        <f ca="1">VLOOKUP(A301,Data!C:I,7,FALSE)</f>
        <v>0</v>
      </c>
      <c r="F301" s="636" t="str">
        <f t="shared" si="32"/>
        <v>ID.RM-12</v>
      </c>
      <c r="G301" s="636" t="str">
        <f t="shared" ca="1" si="33"/>
        <v>ID.RM-120</v>
      </c>
    </row>
    <row r="302" spans="1:7" x14ac:dyDescent="0.25">
      <c r="A302" t="s">
        <v>377</v>
      </c>
      <c r="B302" s="556">
        <v>2</v>
      </c>
      <c r="C302" t="s">
        <v>1501</v>
      </c>
      <c r="D302" t="s">
        <v>1565</v>
      </c>
      <c r="E302" s="556">
        <f ca="1">VLOOKUP(A302,Data!C:I,7,FALSE)</f>
        <v>0</v>
      </c>
      <c r="F302" s="636" t="str">
        <f t="shared" si="32"/>
        <v>PR.AT-42</v>
      </c>
      <c r="G302" s="636" t="str">
        <f t="shared" ca="1" si="33"/>
        <v>PR.AT-420</v>
      </c>
    </row>
    <row r="303" spans="1:7" x14ac:dyDescent="0.25">
      <c r="A303" t="s">
        <v>378</v>
      </c>
      <c r="B303" s="556">
        <v>2</v>
      </c>
      <c r="C303" t="s">
        <v>446</v>
      </c>
      <c r="D303" t="s">
        <v>1566</v>
      </c>
      <c r="E303" s="556">
        <f ca="1">VLOOKUP(A303,Data!C:I,7,FALSE)</f>
        <v>0</v>
      </c>
      <c r="F303" s="636" t="str">
        <f t="shared" si="32"/>
        <v>ID.GV-42</v>
      </c>
      <c r="G303" s="636" t="str">
        <f t="shared" ca="1" si="33"/>
        <v>ID.GV-420</v>
      </c>
    </row>
    <row r="304" spans="1:7" x14ac:dyDescent="0.25">
      <c r="A304" t="s">
        <v>378</v>
      </c>
      <c r="B304" s="556">
        <v>2</v>
      </c>
      <c r="C304" t="s">
        <v>446</v>
      </c>
      <c r="D304" t="s">
        <v>1567</v>
      </c>
      <c r="E304" s="556">
        <f ca="1">VLOOKUP(A304,Data!C:I,7,FALSE)</f>
        <v>0</v>
      </c>
      <c r="F304" s="636" t="str">
        <f t="shared" si="32"/>
        <v>ID.RM-12</v>
      </c>
      <c r="G304" s="636" t="str">
        <f t="shared" ca="1" si="33"/>
        <v>ID.RM-120</v>
      </c>
    </row>
    <row r="305" spans="1:7" x14ac:dyDescent="0.25">
      <c r="A305" t="s">
        <v>379</v>
      </c>
      <c r="B305" s="556">
        <v>3</v>
      </c>
      <c r="C305" t="s">
        <v>446</v>
      </c>
      <c r="D305" t="s">
        <v>1566</v>
      </c>
      <c r="E305" s="556">
        <f ca="1">VLOOKUP(A305,Data!C:I,7,FALSE)</f>
        <v>0</v>
      </c>
      <c r="F305" s="636" t="str">
        <f t="shared" si="32"/>
        <v>ID.GV-43</v>
      </c>
      <c r="G305" s="636" t="str">
        <f t="shared" ca="1" si="33"/>
        <v>ID.GV-430</v>
      </c>
    </row>
    <row r="306" spans="1:7" x14ac:dyDescent="0.25">
      <c r="A306" t="s">
        <v>379</v>
      </c>
      <c r="B306" s="556">
        <v>3</v>
      </c>
      <c r="C306" t="s">
        <v>446</v>
      </c>
      <c r="D306" t="s">
        <v>1567</v>
      </c>
      <c r="E306" s="556">
        <f ca="1">VLOOKUP(A306,Data!C:I,7,FALSE)</f>
        <v>0</v>
      </c>
      <c r="F306" s="636" t="str">
        <f t="shared" si="32"/>
        <v>ID.RM-13</v>
      </c>
      <c r="G306" s="636" t="str">
        <f t="shared" ca="1" si="33"/>
        <v>ID.RM-130</v>
      </c>
    </row>
    <row r="307" spans="1:7" x14ac:dyDescent="0.25">
      <c r="A307" t="s">
        <v>380</v>
      </c>
      <c r="B307" s="556">
        <v>3</v>
      </c>
      <c r="C307" t="s">
        <v>446</v>
      </c>
      <c r="D307" t="s">
        <v>1566</v>
      </c>
      <c r="E307" s="556">
        <f ca="1">VLOOKUP(A307,Data!C:I,7,FALSE)</f>
        <v>0</v>
      </c>
      <c r="F307" s="636" t="str">
        <f t="shared" si="32"/>
        <v>ID.GV-43</v>
      </c>
      <c r="G307" s="636" t="str">
        <f t="shared" ca="1" si="33"/>
        <v>ID.GV-430</v>
      </c>
    </row>
    <row r="308" spans="1:7" x14ac:dyDescent="0.25">
      <c r="A308" t="s">
        <v>380</v>
      </c>
      <c r="B308" s="556">
        <v>3</v>
      </c>
      <c r="C308" t="s">
        <v>446</v>
      </c>
      <c r="D308" t="s">
        <v>1567</v>
      </c>
      <c r="E308" s="556">
        <f ca="1">VLOOKUP(A308,Data!C:I,7,FALSE)</f>
        <v>0</v>
      </c>
      <c r="F308" s="636" t="str">
        <f t="shared" si="32"/>
        <v>ID.RM-13</v>
      </c>
      <c r="G308" s="636" t="str">
        <f t="shared" ca="1" si="33"/>
        <v>ID.RM-130</v>
      </c>
    </row>
    <row r="309" spans="1:7" x14ac:dyDescent="0.25">
      <c r="A309" t="s">
        <v>381</v>
      </c>
      <c r="B309" s="556">
        <v>1</v>
      </c>
      <c r="C309" t="s">
        <v>446</v>
      </c>
      <c r="D309" t="s">
        <v>1568</v>
      </c>
      <c r="E309" s="556">
        <f ca="1">VLOOKUP(A309,Data!C:I,7,FALSE)</f>
        <v>0</v>
      </c>
      <c r="F309" s="636" t="str">
        <f t="shared" si="32"/>
        <v>ID.BE-51</v>
      </c>
      <c r="G309" s="636" t="str">
        <f t="shared" ca="1" si="33"/>
        <v>ID.BE-510</v>
      </c>
    </row>
    <row r="310" spans="1:7" x14ac:dyDescent="0.25">
      <c r="A310" t="s">
        <v>381</v>
      </c>
      <c r="B310" s="556">
        <v>1</v>
      </c>
      <c r="C310" t="s">
        <v>1501</v>
      </c>
      <c r="D310" t="s">
        <v>1569</v>
      </c>
      <c r="E310" s="556">
        <f ca="1">VLOOKUP(A310,Data!C:I,7,FALSE)</f>
        <v>0</v>
      </c>
      <c r="F310" s="636" t="str">
        <f t="shared" si="32"/>
        <v>PR.IP-91</v>
      </c>
      <c r="G310" s="636" t="str">
        <f t="shared" ca="1" si="33"/>
        <v>PR.IP-910</v>
      </c>
    </row>
    <row r="311" spans="1:7" x14ac:dyDescent="0.25">
      <c r="A311" t="s">
        <v>381</v>
      </c>
      <c r="B311" s="556">
        <v>1</v>
      </c>
      <c r="C311" t="s">
        <v>1503</v>
      </c>
      <c r="D311" t="s">
        <v>1570</v>
      </c>
      <c r="E311" s="556">
        <f ca="1">VLOOKUP(A311,Data!C:I,7,FALSE)</f>
        <v>0</v>
      </c>
      <c r="F311" s="636" t="str">
        <f t="shared" si="32"/>
        <v>RS.RP-11</v>
      </c>
      <c r="G311" s="636" t="str">
        <f t="shared" ca="1" si="33"/>
        <v>RS.RP-110</v>
      </c>
    </row>
    <row r="312" spans="1:7" x14ac:dyDescent="0.25">
      <c r="A312" t="s">
        <v>382</v>
      </c>
      <c r="B312" s="556">
        <v>1</v>
      </c>
      <c r="C312" t="s">
        <v>446</v>
      </c>
      <c r="D312" t="s">
        <v>1568</v>
      </c>
      <c r="E312" s="556">
        <f ca="1">VLOOKUP(A312,Data!C:I,7,FALSE)</f>
        <v>0</v>
      </c>
      <c r="F312" s="636" t="str">
        <f t="shared" si="32"/>
        <v>ID.BE-51</v>
      </c>
      <c r="G312" s="636" t="str">
        <f t="shared" ca="1" si="33"/>
        <v>ID.BE-510</v>
      </c>
    </row>
    <row r="313" spans="1:7" x14ac:dyDescent="0.25">
      <c r="A313" t="s">
        <v>382</v>
      </c>
      <c r="B313" s="556">
        <v>1</v>
      </c>
      <c r="C313" t="s">
        <v>1501</v>
      </c>
      <c r="D313" t="s">
        <v>1569</v>
      </c>
      <c r="E313" s="556">
        <f ca="1">VLOOKUP(A313,Data!C:I,7,FALSE)</f>
        <v>0</v>
      </c>
      <c r="F313" s="636" t="str">
        <f t="shared" si="32"/>
        <v>PR.IP-91</v>
      </c>
      <c r="G313" s="636" t="str">
        <f t="shared" ca="1" si="33"/>
        <v>PR.IP-910</v>
      </c>
    </row>
    <row r="314" spans="1:7" x14ac:dyDescent="0.25">
      <c r="A314" t="s">
        <v>382</v>
      </c>
      <c r="B314" s="556">
        <v>1</v>
      </c>
      <c r="C314" t="s">
        <v>1503</v>
      </c>
      <c r="D314" t="s">
        <v>1570</v>
      </c>
      <c r="E314" s="556">
        <f ca="1">VLOOKUP(A314,Data!C:I,7,FALSE)</f>
        <v>0</v>
      </c>
      <c r="F314" s="636" t="str">
        <f t="shared" si="32"/>
        <v>RS.RP-11</v>
      </c>
      <c r="G314" s="636" t="str">
        <f t="shared" ca="1" si="33"/>
        <v>RS.RP-110</v>
      </c>
    </row>
    <row r="315" spans="1:7" x14ac:dyDescent="0.25">
      <c r="A315" t="s">
        <v>383</v>
      </c>
      <c r="B315" s="556">
        <v>1</v>
      </c>
      <c r="C315" t="s">
        <v>446</v>
      </c>
      <c r="D315" t="s">
        <v>1568</v>
      </c>
      <c r="E315" s="556">
        <f ca="1">VLOOKUP(A315,Data!C:I,7,FALSE)</f>
        <v>0</v>
      </c>
      <c r="F315" s="636" t="str">
        <f t="shared" si="32"/>
        <v>ID.BE-51</v>
      </c>
      <c r="G315" s="636" t="str">
        <f t="shared" ca="1" si="33"/>
        <v>ID.BE-510</v>
      </c>
    </row>
    <row r="316" spans="1:7" x14ac:dyDescent="0.25">
      <c r="A316" t="s">
        <v>383</v>
      </c>
      <c r="B316" s="556">
        <v>1</v>
      </c>
      <c r="C316" t="s">
        <v>1501</v>
      </c>
      <c r="D316" t="s">
        <v>1569</v>
      </c>
      <c r="E316" s="556">
        <f ca="1">VLOOKUP(A316,Data!C:I,7,FALSE)</f>
        <v>0</v>
      </c>
      <c r="F316" s="636" t="str">
        <f t="shared" si="32"/>
        <v>PR.IP-91</v>
      </c>
      <c r="G316" s="636" t="str">
        <f t="shared" ca="1" si="33"/>
        <v>PR.IP-910</v>
      </c>
    </row>
    <row r="317" spans="1:7" x14ac:dyDescent="0.25">
      <c r="A317" t="s">
        <v>383</v>
      </c>
      <c r="B317" s="556">
        <v>1</v>
      </c>
      <c r="C317" t="s">
        <v>1503</v>
      </c>
      <c r="D317" t="s">
        <v>1571</v>
      </c>
      <c r="E317" s="556">
        <f ca="1">VLOOKUP(A317,Data!C:I,7,FALSE)</f>
        <v>0</v>
      </c>
      <c r="F317" s="636" t="str">
        <f t="shared" si="32"/>
        <v>RS.CO-11</v>
      </c>
      <c r="G317" s="636" t="str">
        <f t="shared" ca="1" si="33"/>
        <v>RS.CO-110</v>
      </c>
    </row>
    <row r="318" spans="1:7" x14ac:dyDescent="0.25">
      <c r="A318" t="s">
        <v>383</v>
      </c>
      <c r="B318" s="556">
        <v>1</v>
      </c>
      <c r="C318" t="s">
        <v>1503</v>
      </c>
      <c r="D318" t="s">
        <v>1570</v>
      </c>
      <c r="E318" s="556">
        <f ca="1">VLOOKUP(A318,Data!C:I,7,FALSE)</f>
        <v>0</v>
      </c>
      <c r="F318" s="636" t="str">
        <f t="shared" si="32"/>
        <v>RS.RP-11</v>
      </c>
      <c r="G318" s="636" t="str">
        <f t="shared" ca="1" si="33"/>
        <v>RS.RP-110</v>
      </c>
    </row>
    <row r="319" spans="1:7" x14ac:dyDescent="0.25">
      <c r="A319" t="s">
        <v>384</v>
      </c>
      <c r="B319" s="556">
        <v>1</v>
      </c>
      <c r="C319" t="s">
        <v>446</v>
      </c>
      <c r="D319" t="s">
        <v>1568</v>
      </c>
      <c r="E319" s="556">
        <f ca="1">VLOOKUP(A319,Data!C:I,7,FALSE)</f>
        <v>0</v>
      </c>
      <c r="F319" s="636" t="str">
        <f t="shared" si="32"/>
        <v>ID.BE-51</v>
      </c>
      <c r="G319" s="636" t="str">
        <f t="shared" ca="1" si="33"/>
        <v>ID.BE-510</v>
      </c>
    </row>
    <row r="320" spans="1:7" x14ac:dyDescent="0.25">
      <c r="A320" t="s">
        <v>384</v>
      </c>
      <c r="B320" s="556">
        <v>1</v>
      </c>
      <c r="C320" t="s">
        <v>446</v>
      </c>
      <c r="D320" t="s">
        <v>1572</v>
      </c>
      <c r="E320" s="556">
        <f ca="1">VLOOKUP(A320,Data!C:I,7,FALSE)</f>
        <v>0</v>
      </c>
      <c r="F320" s="636" t="str">
        <f t="shared" si="32"/>
        <v>ID.SC-51</v>
      </c>
      <c r="G320" s="636" t="str">
        <f t="shared" ca="1" si="33"/>
        <v>ID.SC-510</v>
      </c>
    </row>
    <row r="321" spans="1:7" x14ac:dyDescent="0.25">
      <c r="A321" t="s">
        <v>384</v>
      </c>
      <c r="B321" s="556">
        <v>1</v>
      </c>
      <c r="C321" t="s">
        <v>1501</v>
      </c>
      <c r="D321" t="s">
        <v>1569</v>
      </c>
      <c r="E321" s="556">
        <f ca="1">VLOOKUP(A321,Data!C:I,7,FALSE)</f>
        <v>0</v>
      </c>
      <c r="F321" s="636" t="str">
        <f t="shared" si="32"/>
        <v>PR.IP-91</v>
      </c>
      <c r="G321" s="636" t="str">
        <f t="shared" ca="1" si="33"/>
        <v>PR.IP-910</v>
      </c>
    </row>
    <row r="322" spans="1:7" x14ac:dyDescent="0.25">
      <c r="A322" t="s">
        <v>384</v>
      </c>
      <c r="B322" s="556">
        <v>1</v>
      </c>
      <c r="C322" t="s">
        <v>1503</v>
      </c>
      <c r="D322" t="s">
        <v>1573</v>
      </c>
      <c r="E322" s="556">
        <f ca="1">VLOOKUP(A322,Data!C:I,7,FALSE)</f>
        <v>0</v>
      </c>
      <c r="F322" s="636" t="str">
        <f t="shared" si="32"/>
        <v>RS.CO-41</v>
      </c>
      <c r="G322" s="636" t="str">
        <f t="shared" ca="1" si="33"/>
        <v>RS.CO-410</v>
      </c>
    </row>
    <row r="323" spans="1:7" x14ac:dyDescent="0.25">
      <c r="A323" t="s">
        <v>384</v>
      </c>
      <c r="B323" s="556">
        <v>1</v>
      </c>
      <c r="C323" t="s">
        <v>1503</v>
      </c>
      <c r="D323" t="s">
        <v>1570</v>
      </c>
      <c r="E323" s="556">
        <f ca="1">VLOOKUP(A323,Data!C:I,7,FALSE)</f>
        <v>0</v>
      </c>
      <c r="F323" s="636" t="str">
        <f t="shared" ref="F323:F386" si="34">CONCATENATE($D323,$B323)</f>
        <v>RS.RP-11</v>
      </c>
      <c r="G323" s="636" t="str">
        <f t="shared" ref="G323:G386" ca="1" si="35">_xlfn.IFNA(CONCATENATE(F323,$E323),CONCATENATE(F323,$E323,0))</f>
        <v>RS.RP-110</v>
      </c>
    </row>
    <row r="324" spans="1:7" x14ac:dyDescent="0.25">
      <c r="A324" t="s">
        <v>385</v>
      </c>
      <c r="B324" s="556">
        <v>2</v>
      </c>
      <c r="C324" t="s">
        <v>446</v>
      </c>
      <c r="D324" t="s">
        <v>1568</v>
      </c>
      <c r="E324" s="556">
        <f ca="1">VLOOKUP(A324,Data!C:I,7,FALSE)</f>
        <v>0</v>
      </c>
      <c r="F324" s="636" t="str">
        <f t="shared" si="34"/>
        <v>ID.BE-52</v>
      </c>
      <c r="G324" s="636" t="str">
        <f t="shared" ca="1" si="35"/>
        <v>ID.BE-520</v>
      </c>
    </row>
    <row r="325" spans="1:7" x14ac:dyDescent="0.25">
      <c r="A325" t="s">
        <v>385</v>
      </c>
      <c r="B325" s="556">
        <v>2</v>
      </c>
      <c r="C325" t="s">
        <v>1501</v>
      </c>
      <c r="D325" t="s">
        <v>1569</v>
      </c>
      <c r="E325" s="556">
        <f ca="1">VLOOKUP(A325,Data!C:I,7,FALSE)</f>
        <v>0</v>
      </c>
      <c r="F325" s="636" t="str">
        <f t="shared" si="34"/>
        <v>PR.IP-92</v>
      </c>
      <c r="G325" s="636" t="str">
        <f t="shared" ca="1" si="35"/>
        <v>PR.IP-920</v>
      </c>
    </row>
    <row r="326" spans="1:7" x14ac:dyDescent="0.25">
      <c r="A326" t="s">
        <v>385</v>
      </c>
      <c r="B326" s="556">
        <v>2</v>
      </c>
      <c r="C326" t="s">
        <v>1503</v>
      </c>
      <c r="D326" t="s">
        <v>1570</v>
      </c>
      <c r="E326" s="556">
        <f ca="1">VLOOKUP(A326,Data!C:I,7,FALSE)</f>
        <v>0</v>
      </c>
      <c r="F326" s="636" t="str">
        <f t="shared" si="34"/>
        <v>RS.RP-12</v>
      </c>
      <c r="G326" s="636" t="str">
        <f t="shared" ca="1" si="35"/>
        <v>RS.RP-120</v>
      </c>
    </row>
    <row r="327" spans="1:7" x14ac:dyDescent="0.25">
      <c r="A327" t="s">
        <v>386</v>
      </c>
      <c r="B327" s="556">
        <v>2</v>
      </c>
      <c r="C327" t="s">
        <v>446</v>
      </c>
      <c r="D327" t="s">
        <v>1568</v>
      </c>
      <c r="E327" s="556">
        <f ca="1">VLOOKUP(A327,Data!C:I,7,FALSE)</f>
        <v>0</v>
      </c>
      <c r="F327" s="636" t="str">
        <f t="shared" si="34"/>
        <v>ID.BE-52</v>
      </c>
      <c r="G327" s="636" t="str">
        <f t="shared" ca="1" si="35"/>
        <v>ID.BE-520</v>
      </c>
    </row>
    <row r="328" spans="1:7" x14ac:dyDescent="0.25">
      <c r="A328" t="s">
        <v>386</v>
      </c>
      <c r="B328" s="556">
        <v>2</v>
      </c>
      <c r="C328" t="s">
        <v>1501</v>
      </c>
      <c r="D328" t="s">
        <v>1569</v>
      </c>
      <c r="E328" s="556">
        <f ca="1">VLOOKUP(A328,Data!C:I,7,FALSE)</f>
        <v>0</v>
      </c>
      <c r="F328" s="636" t="str">
        <f t="shared" si="34"/>
        <v>PR.IP-92</v>
      </c>
      <c r="G328" s="636" t="str">
        <f t="shared" ca="1" si="35"/>
        <v>PR.IP-920</v>
      </c>
    </row>
    <row r="329" spans="1:7" x14ac:dyDescent="0.25">
      <c r="A329" t="s">
        <v>386</v>
      </c>
      <c r="B329" s="556">
        <v>2</v>
      </c>
      <c r="C329" t="s">
        <v>1503</v>
      </c>
      <c r="D329" t="s">
        <v>1574</v>
      </c>
      <c r="E329" s="556">
        <f ca="1">VLOOKUP(A329,Data!C:I,7,FALSE)</f>
        <v>0</v>
      </c>
      <c r="F329" s="636" t="str">
        <f t="shared" si="34"/>
        <v>RS.CO-22</v>
      </c>
      <c r="G329" s="636" t="str">
        <f t="shared" ca="1" si="35"/>
        <v>RS.CO-220</v>
      </c>
    </row>
    <row r="330" spans="1:7" x14ac:dyDescent="0.25">
      <c r="A330" t="s">
        <v>386</v>
      </c>
      <c r="B330" s="556">
        <v>2</v>
      </c>
      <c r="C330" t="s">
        <v>1503</v>
      </c>
      <c r="D330" t="s">
        <v>1575</v>
      </c>
      <c r="E330" s="556">
        <f ca="1">VLOOKUP(A330,Data!C:I,7,FALSE)</f>
        <v>0</v>
      </c>
      <c r="F330" s="636" t="str">
        <f t="shared" si="34"/>
        <v>RS.CO-32</v>
      </c>
      <c r="G330" s="636" t="str">
        <f t="shared" ca="1" si="35"/>
        <v>RS.CO-320</v>
      </c>
    </row>
    <row r="331" spans="1:7" x14ac:dyDescent="0.25">
      <c r="A331" t="s">
        <v>386</v>
      </c>
      <c r="B331" s="556">
        <v>2</v>
      </c>
      <c r="C331" t="s">
        <v>1503</v>
      </c>
      <c r="D331" t="s">
        <v>1573</v>
      </c>
      <c r="E331" s="556">
        <f ca="1">VLOOKUP(A331,Data!C:I,7,FALSE)</f>
        <v>0</v>
      </c>
      <c r="F331" s="636" t="str">
        <f t="shared" si="34"/>
        <v>RS.CO-42</v>
      </c>
      <c r="G331" s="636" t="str">
        <f t="shared" ca="1" si="35"/>
        <v>RS.CO-420</v>
      </c>
    </row>
    <row r="332" spans="1:7" x14ac:dyDescent="0.25">
      <c r="A332" t="s">
        <v>386</v>
      </c>
      <c r="B332" s="556">
        <v>2</v>
      </c>
      <c r="C332" t="s">
        <v>1503</v>
      </c>
      <c r="D332" t="s">
        <v>1570</v>
      </c>
      <c r="E332" s="556">
        <f ca="1">VLOOKUP(A332,Data!C:I,7,FALSE)</f>
        <v>0</v>
      </c>
      <c r="F332" s="636" t="str">
        <f t="shared" si="34"/>
        <v>RS.RP-12</v>
      </c>
      <c r="G332" s="636" t="str">
        <f t="shared" ca="1" si="35"/>
        <v>RS.RP-120</v>
      </c>
    </row>
    <row r="333" spans="1:7" x14ac:dyDescent="0.25">
      <c r="A333" t="s">
        <v>387</v>
      </c>
      <c r="B333" s="556">
        <v>3</v>
      </c>
      <c r="C333" t="s">
        <v>446</v>
      </c>
      <c r="D333" t="s">
        <v>1568</v>
      </c>
      <c r="E333" s="556">
        <f ca="1">VLOOKUP(A333,Data!C:I,7,FALSE)</f>
        <v>0</v>
      </c>
      <c r="F333" s="636" t="str">
        <f t="shared" si="34"/>
        <v>ID.BE-53</v>
      </c>
      <c r="G333" s="636" t="str">
        <f t="shared" ca="1" si="35"/>
        <v>ID.BE-530</v>
      </c>
    </row>
    <row r="334" spans="1:7" x14ac:dyDescent="0.25">
      <c r="A334" t="s">
        <v>387</v>
      </c>
      <c r="B334" s="556">
        <v>3</v>
      </c>
      <c r="C334" t="s">
        <v>446</v>
      </c>
      <c r="D334" t="s">
        <v>1572</v>
      </c>
      <c r="E334" s="556">
        <f ca="1">VLOOKUP(A334,Data!C:I,7,FALSE)</f>
        <v>0</v>
      </c>
      <c r="F334" s="636" t="str">
        <f t="shared" si="34"/>
        <v>ID.SC-53</v>
      </c>
      <c r="G334" s="636" t="str">
        <f t="shared" ca="1" si="35"/>
        <v>ID.SC-530</v>
      </c>
    </row>
    <row r="335" spans="1:7" x14ac:dyDescent="0.25">
      <c r="A335" t="s">
        <v>387</v>
      </c>
      <c r="B335" s="556">
        <v>3</v>
      </c>
      <c r="C335" t="s">
        <v>1501</v>
      </c>
      <c r="D335" t="s">
        <v>1569</v>
      </c>
      <c r="E335" s="556">
        <f ca="1">VLOOKUP(A335,Data!C:I,7,FALSE)</f>
        <v>0</v>
      </c>
      <c r="F335" s="636" t="str">
        <f t="shared" si="34"/>
        <v>PR.IP-93</v>
      </c>
      <c r="G335" s="636" t="str">
        <f t="shared" ca="1" si="35"/>
        <v>PR.IP-930</v>
      </c>
    </row>
    <row r="336" spans="1:7" x14ac:dyDescent="0.25">
      <c r="A336" t="s">
        <v>387</v>
      </c>
      <c r="B336" s="556">
        <v>3</v>
      </c>
      <c r="C336" t="s">
        <v>1503</v>
      </c>
      <c r="D336" t="s">
        <v>1570</v>
      </c>
      <c r="E336" s="556">
        <f ca="1">VLOOKUP(A336,Data!C:I,7,FALSE)</f>
        <v>0</v>
      </c>
      <c r="F336" s="636" t="str">
        <f t="shared" si="34"/>
        <v>RS.RP-13</v>
      </c>
      <c r="G336" s="636" t="str">
        <f t="shared" ca="1" si="35"/>
        <v>RS.RP-130</v>
      </c>
    </row>
    <row r="337" spans="1:7" x14ac:dyDescent="0.25">
      <c r="A337" t="s">
        <v>388</v>
      </c>
      <c r="B337" s="556">
        <v>3</v>
      </c>
      <c r="C337" t="s">
        <v>446</v>
      </c>
      <c r="D337" t="s">
        <v>1568</v>
      </c>
      <c r="E337" s="556">
        <f ca="1">VLOOKUP(A337,Data!C:I,7,FALSE)</f>
        <v>0</v>
      </c>
      <c r="F337" s="636" t="str">
        <f t="shared" si="34"/>
        <v>ID.BE-53</v>
      </c>
      <c r="G337" s="636" t="str">
        <f t="shared" ca="1" si="35"/>
        <v>ID.BE-530</v>
      </c>
    </row>
    <row r="338" spans="1:7" x14ac:dyDescent="0.25">
      <c r="A338" t="s">
        <v>388</v>
      </c>
      <c r="B338" s="556">
        <v>3</v>
      </c>
      <c r="C338" t="s">
        <v>446</v>
      </c>
      <c r="D338" t="s">
        <v>1572</v>
      </c>
      <c r="E338" s="556">
        <f ca="1">VLOOKUP(A338,Data!C:I,7,FALSE)</f>
        <v>0</v>
      </c>
      <c r="F338" s="636" t="str">
        <f t="shared" si="34"/>
        <v>ID.SC-53</v>
      </c>
      <c r="G338" s="636" t="str">
        <f t="shared" ca="1" si="35"/>
        <v>ID.SC-530</v>
      </c>
    </row>
    <row r="339" spans="1:7" x14ac:dyDescent="0.25">
      <c r="A339" t="s">
        <v>388</v>
      </c>
      <c r="B339" s="556">
        <v>3</v>
      </c>
      <c r="C339" t="s">
        <v>1501</v>
      </c>
      <c r="D339" t="s">
        <v>1569</v>
      </c>
      <c r="E339" s="556">
        <f ca="1">VLOOKUP(A339,Data!C:I,7,FALSE)</f>
        <v>0</v>
      </c>
      <c r="F339" s="636" t="str">
        <f t="shared" si="34"/>
        <v>PR.IP-93</v>
      </c>
      <c r="G339" s="636" t="str">
        <f t="shared" ca="1" si="35"/>
        <v>PR.IP-930</v>
      </c>
    </row>
    <row r="340" spans="1:7" x14ac:dyDescent="0.25">
      <c r="A340" t="s">
        <v>388</v>
      </c>
      <c r="B340" s="556">
        <v>3</v>
      </c>
      <c r="C340" t="s">
        <v>1503</v>
      </c>
      <c r="D340" t="s">
        <v>1573</v>
      </c>
      <c r="E340" s="556">
        <f ca="1">VLOOKUP(A340,Data!C:I,7,FALSE)</f>
        <v>0</v>
      </c>
      <c r="F340" s="636" t="str">
        <f t="shared" si="34"/>
        <v>RS.CO-43</v>
      </c>
      <c r="G340" s="636" t="str">
        <f t="shared" ca="1" si="35"/>
        <v>RS.CO-430</v>
      </c>
    </row>
    <row r="341" spans="1:7" x14ac:dyDescent="0.25">
      <c r="A341" t="s">
        <v>388</v>
      </c>
      <c r="B341" s="556">
        <v>3</v>
      </c>
      <c r="C341" t="s">
        <v>1503</v>
      </c>
      <c r="D341" t="s">
        <v>1570</v>
      </c>
      <c r="E341" s="556">
        <f ca="1">VLOOKUP(A341,Data!C:I,7,FALSE)</f>
        <v>0</v>
      </c>
      <c r="F341" s="636" t="str">
        <f t="shared" si="34"/>
        <v>RS.RP-13</v>
      </c>
      <c r="G341" s="636" t="str">
        <f t="shared" ca="1" si="35"/>
        <v>RS.RP-130</v>
      </c>
    </row>
    <row r="342" spans="1:7" x14ac:dyDescent="0.25">
      <c r="A342" t="s">
        <v>338</v>
      </c>
      <c r="B342" s="556">
        <v>2</v>
      </c>
      <c r="C342" t="s">
        <v>446</v>
      </c>
      <c r="D342" t="s">
        <v>1559</v>
      </c>
      <c r="E342" s="556">
        <f ca="1">VLOOKUP(A342,Data!C:I,7,FALSE)</f>
        <v>0</v>
      </c>
      <c r="F342" s="636" t="str">
        <f t="shared" si="34"/>
        <v>ID.BE-22</v>
      </c>
      <c r="G342" s="636" t="str">
        <f t="shared" ca="1" si="35"/>
        <v>ID.BE-220</v>
      </c>
    </row>
    <row r="343" spans="1:7" x14ac:dyDescent="0.25">
      <c r="A343" t="s">
        <v>342</v>
      </c>
      <c r="B343" s="556">
        <v>2</v>
      </c>
      <c r="C343" t="s">
        <v>446</v>
      </c>
      <c r="D343" t="s">
        <v>1576</v>
      </c>
      <c r="E343" s="556">
        <f ca="1">VLOOKUP(A343,Data!C:I,7,FALSE)</f>
        <v>0</v>
      </c>
      <c r="F343" s="636" t="str">
        <f t="shared" si="34"/>
        <v>ID.GV-32</v>
      </c>
      <c r="G343" s="636" t="str">
        <f t="shared" ca="1" si="35"/>
        <v>ID.GV-320</v>
      </c>
    </row>
    <row r="344" spans="1:7" x14ac:dyDescent="0.25">
      <c r="A344" t="s">
        <v>349</v>
      </c>
      <c r="B344" s="556">
        <v>2</v>
      </c>
      <c r="C344" t="s">
        <v>446</v>
      </c>
      <c r="D344" t="s">
        <v>1562</v>
      </c>
      <c r="E344" s="556">
        <f ca="1">VLOOKUP(A344,Data!C:I,7,FALSE)</f>
        <v>0</v>
      </c>
      <c r="F344" s="636" t="str">
        <f t="shared" si="34"/>
        <v>ID.GV-12</v>
      </c>
      <c r="G344" s="636" t="str">
        <f t="shared" ca="1" si="35"/>
        <v>ID.GV-120</v>
      </c>
    </row>
    <row r="345" spans="1:7" x14ac:dyDescent="0.25">
      <c r="A345" t="s">
        <v>351</v>
      </c>
      <c r="B345" s="556">
        <v>2</v>
      </c>
      <c r="C345" t="s">
        <v>446</v>
      </c>
      <c r="D345" t="s">
        <v>1529</v>
      </c>
      <c r="E345" s="556">
        <f ca="1">VLOOKUP(A345,Data!C:I,7,FALSE)</f>
        <v>0</v>
      </c>
      <c r="F345" s="636" t="str">
        <f t="shared" si="34"/>
        <v>ID.AM-62</v>
      </c>
      <c r="G345" s="636" t="str">
        <f t="shared" ca="1" si="35"/>
        <v>ID.AM-620</v>
      </c>
    </row>
    <row r="346" spans="1:7" x14ac:dyDescent="0.25">
      <c r="A346" t="s">
        <v>354</v>
      </c>
      <c r="B346" s="556">
        <v>3</v>
      </c>
      <c r="C346" t="s">
        <v>446</v>
      </c>
      <c r="D346" t="s">
        <v>1576</v>
      </c>
      <c r="E346" s="556" t="e">
        <f>VLOOKUP(A346,Data!C:I,7,FALSE)</f>
        <v>#N/A</v>
      </c>
      <c r="F346" s="636" t="str">
        <f t="shared" si="34"/>
        <v>ID.GV-33</v>
      </c>
      <c r="G346" s="636" t="e">
        <f t="shared" si="35"/>
        <v>#N/A</v>
      </c>
    </row>
    <row r="347" spans="1:7" x14ac:dyDescent="0.25">
      <c r="A347" t="s">
        <v>357</v>
      </c>
      <c r="B347" s="556">
        <v>3</v>
      </c>
      <c r="C347" t="s">
        <v>446</v>
      </c>
      <c r="D347" t="s">
        <v>1576</v>
      </c>
      <c r="E347" s="556">
        <f ca="1">VLOOKUP(A347,Data!C:I,7,FALSE)</f>
        <v>0</v>
      </c>
      <c r="F347" s="636" t="str">
        <f t="shared" si="34"/>
        <v>ID.GV-33</v>
      </c>
      <c r="G347" s="636" t="str">
        <f t="shared" ca="1" si="35"/>
        <v>ID.GV-330</v>
      </c>
    </row>
    <row r="348" spans="1:7" x14ac:dyDescent="0.25">
      <c r="A348" t="s">
        <v>359</v>
      </c>
      <c r="B348" s="556">
        <v>3</v>
      </c>
      <c r="C348" t="s">
        <v>446</v>
      </c>
      <c r="D348" t="s">
        <v>1529</v>
      </c>
      <c r="E348" s="556">
        <f ca="1">VLOOKUP(A348,Data!C:I,7,FALSE)</f>
        <v>0</v>
      </c>
      <c r="F348" s="636" t="str">
        <f t="shared" si="34"/>
        <v>ID.AM-63</v>
      </c>
      <c r="G348" s="636" t="str">
        <f t="shared" ca="1" si="35"/>
        <v>ID.AM-630</v>
      </c>
    </row>
    <row r="349" spans="1:7" x14ac:dyDescent="0.25">
      <c r="A349" t="s">
        <v>359</v>
      </c>
      <c r="B349" s="556">
        <v>3</v>
      </c>
      <c r="C349" t="s">
        <v>446</v>
      </c>
      <c r="D349" t="s">
        <v>1530</v>
      </c>
      <c r="E349" s="556">
        <f ca="1">VLOOKUP(A349,Data!C:I,7,FALSE)</f>
        <v>0</v>
      </c>
      <c r="F349" s="636" t="str">
        <f t="shared" si="34"/>
        <v>ID.GV-23</v>
      </c>
      <c r="G349" s="636" t="str">
        <f t="shared" ca="1" si="35"/>
        <v>ID.GV-230</v>
      </c>
    </row>
    <row r="350" spans="1:7" x14ac:dyDescent="0.25">
      <c r="A350" t="s">
        <v>360</v>
      </c>
      <c r="B350" s="556">
        <v>3</v>
      </c>
      <c r="C350" t="s">
        <v>1501</v>
      </c>
      <c r="D350" t="s">
        <v>1531</v>
      </c>
      <c r="E350" s="556">
        <f ca="1">VLOOKUP(A350,Data!C:I,7,FALSE)</f>
        <v>0</v>
      </c>
      <c r="F350" s="636" t="str">
        <f t="shared" si="34"/>
        <v>PR.IP-83</v>
      </c>
      <c r="G350" s="636" t="str">
        <f t="shared" ca="1" si="35"/>
        <v>PR.IP-830</v>
      </c>
    </row>
    <row r="351" spans="1:7" x14ac:dyDescent="0.25">
      <c r="A351" t="s">
        <v>240</v>
      </c>
      <c r="B351" s="556">
        <v>1</v>
      </c>
      <c r="C351" t="s">
        <v>1502</v>
      </c>
      <c r="D351" t="s">
        <v>1577</v>
      </c>
      <c r="E351" s="556">
        <f ca="1">VLOOKUP(A351,Data!C:I,7,FALSE)</f>
        <v>0</v>
      </c>
      <c r="F351" s="636" t="str">
        <f t="shared" si="34"/>
        <v>DE.AE-31</v>
      </c>
      <c r="G351" s="636" t="str">
        <f t="shared" ca="1" si="35"/>
        <v>DE.AE-310</v>
      </c>
    </row>
    <row r="352" spans="1:7" x14ac:dyDescent="0.25">
      <c r="A352" t="s">
        <v>240</v>
      </c>
      <c r="B352" s="556">
        <v>1</v>
      </c>
      <c r="C352" t="s">
        <v>1502</v>
      </c>
      <c r="D352" t="s">
        <v>1578</v>
      </c>
      <c r="E352" s="556">
        <f ca="1">VLOOKUP(A352,Data!C:I,7,FALSE)</f>
        <v>0</v>
      </c>
      <c r="F352" s="636" t="str">
        <f t="shared" si="34"/>
        <v>DE.DP-11</v>
      </c>
      <c r="G352" s="636" t="str">
        <f t="shared" ca="1" si="35"/>
        <v>DE.DP-110</v>
      </c>
    </row>
    <row r="353" spans="1:7" x14ac:dyDescent="0.25">
      <c r="A353" t="s">
        <v>240</v>
      </c>
      <c r="B353" s="556">
        <v>1</v>
      </c>
      <c r="C353" t="s">
        <v>1502</v>
      </c>
      <c r="D353" t="s">
        <v>1579</v>
      </c>
      <c r="E353" s="556">
        <f ca="1">VLOOKUP(A353,Data!C:I,7,FALSE)</f>
        <v>0</v>
      </c>
      <c r="F353" s="636" t="str">
        <f t="shared" si="34"/>
        <v>DE.DP-41</v>
      </c>
      <c r="G353" s="636" t="str">
        <f t="shared" ca="1" si="35"/>
        <v>DE.DP-410</v>
      </c>
    </row>
    <row r="354" spans="1:7" x14ac:dyDescent="0.25">
      <c r="A354" t="s">
        <v>241</v>
      </c>
      <c r="B354" s="556">
        <v>2</v>
      </c>
      <c r="C354" t="s">
        <v>1502</v>
      </c>
      <c r="D354" t="s">
        <v>1580</v>
      </c>
      <c r="E354" s="556">
        <f ca="1">VLOOKUP(A354,Data!C:I,7,FALSE)</f>
        <v>0</v>
      </c>
      <c r="F354" s="636" t="str">
        <f t="shared" si="34"/>
        <v>DE.DP-22</v>
      </c>
      <c r="G354" s="636" t="str">
        <f t="shared" ca="1" si="35"/>
        <v>DE.DP-220</v>
      </c>
    </row>
    <row r="355" spans="1:7" x14ac:dyDescent="0.25">
      <c r="A355" t="s">
        <v>242</v>
      </c>
      <c r="B355" s="556">
        <v>2</v>
      </c>
      <c r="C355" t="s">
        <v>1502</v>
      </c>
      <c r="D355" t="s">
        <v>1577</v>
      </c>
      <c r="E355" s="556">
        <f ca="1">VLOOKUP(A355,Data!C:I,7,FALSE)</f>
        <v>0</v>
      </c>
      <c r="F355" s="636" t="str">
        <f t="shared" si="34"/>
        <v>DE.AE-32</v>
      </c>
      <c r="G355" s="636" t="str">
        <f t="shared" ca="1" si="35"/>
        <v>DE.AE-320</v>
      </c>
    </row>
    <row r="356" spans="1:7" x14ac:dyDescent="0.25">
      <c r="A356" t="s">
        <v>242</v>
      </c>
      <c r="B356" s="556">
        <v>2</v>
      </c>
      <c r="C356" t="s">
        <v>1503</v>
      </c>
      <c r="D356" t="s">
        <v>1581</v>
      </c>
      <c r="E356" s="556">
        <f ca="1">VLOOKUP(A356,Data!C:I,7,FALSE)</f>
        <v>0</v>
      </c>
      <c r="F356" s="636" t="str">
        <f t="shared" si="34"/>
        <v>RS.AN-12</v>
      </c>
      <c r="G356" s="636" t="str">
        <f t="shared" ca="1" si="35"/>
        <v>RS.AN-120</v>
      </c>
    </row>
    <row r="357" spans="1:7" x14ac:dyDescent="0.25">
      <c r="A357" t="s">
        <v>243</v>
      </c>
      <c r="B357" s="556">
        <v>3</v>
      </c>
      <c r="C357" t="s">
        <v>1502</v>
      </c>
      <c r="D357" t="s">
        <v>1582</v>
      </c>
      <c r="E357" s="556">
        <f ca="1">VLOOKUP(A357,Data!C:I,7,FALSE)</f>
        <v>0</v>
      </c>
      <c r="F357" s="636" t="str">
        <f t="shared" si="34"/>
        <v>DE.AE-23</v>
      </c>
      <c r="G357" s="636" t="str">
        <f t="shared" ca="1" si="35"/>
        <v>DE.AE-230</v>
      </c>
    </row>
    <row r="358" spans="1:7" x14ac:dyDescent="0.25">
      <c r="A358" t="s">
        <v>243</v>
      </c>
      <c r="B358" s="556">
        <v>3</v>
      </c>
      <c r="C358" t="s">
        <v>1502</v>
      </c>
      <c r="D358" t="s">
        <v>1577</v>
      </c>
      <c r="E358" s="556">
        <f ca="1">VLOOKUP(A358,Data!C:I,7,FALSE)</f>
        <v>0</v>
      </c>
      <c r="F358" s="636" t="str">
        <f t="shared" si="34"/>
        <v>DE.AE-33</v>
      </c>
      <c r="G358" s="636" t="str">
        <f t="shared" ca="1" si="35"/>
        <v>DE.AE-330</v>
      </c>
    </row>
    <row r="359" spans="1:7" x14ac:dyDescent="0.25">
      <c r="A359" t="s">
        <v>243</v>
      </c>
      <c r="B359" s="556">
        <v>3</v>
      </c>
      <c r="C359" t="s">
        <v>1503</v>
      </c>
      <c r="D359" t="s">
        <v>1581</v>
      </c>
      <c r="E359" s="556">
        <f ca="1">VLOOKUP(A359,Data!C:I,7,FALSE)</f>
        <v>0</v>
      </c>
      <c r="F359" s="636" t="str">
        <f t="shared" si="34"/>
        <v>RS.AN-13</v>
      </c>
      <c r="G359" s="636" t="str">
        <f t="shared" ca="1" si="35"/>
        <v>RS.AN-130</v>
      </c>
    </row>
    <row r="360" spans="1:7" x14ac:dyDescent="0.25">
      <c r="A360" t="s">
        <v>244</v>
      </c>
      <c r="B360" s="556">
        <v>3</v>
      </c>
      <c r="C360" t="s">
        <v>1502</v>
      </c>
      <c r="D360" t="s">
        <v>1580</v>
      </c>
      <c r="E360" s="556">
        <f ca="1">VLOOKUP(A360,Data!C:I,7,FALSE)</f>
        <v>0</v>
      </c>
      <c r="F360" s="636" t="str">
        <f t="shared" si="34"/>
        <v>DE.DP-23</v>
      </c>
      <c r="G360" s="636" t="str">
        <f t="shared" ca="1" si="35"/>
        <v>DE.DP-230</v>
      </c>
    </row>
    <row r="361" spans="1:7" x14ac:dyDescent="0.25">
      <c r="A361" t="s">
        <v>244</v>
      </c>
      <c r="B361" s="556">
        <v>3</v>
      </c>
      <c r="C361" t="s">
        <v>1502</v>
      </c>
      <c r="D361" t="s">
        <v>1583</v>
      </c>
      <c r="E361" s="556">
        <f ca="1">VLOOKUP(A361,Data!C:I,7,FALSE)</f>
        <v>0</v>
      </c>
      <c r="F361" s="636" t="str">
        <f t="shared" si="34"/>
        <v>DE.DP-53</v>
      </c>
      <c r="G361" s="636" t="str">
        <f t="shared" ca="1" si="35"/>
        <v>DE.DP-530</v>
      </c>
    </row>
    <row r="362" spans="1:7" x14ac:dyDescent="0.25">
      <c r="A362" t="s">
        <v>245</v>
      </c>
      <c r="B362" s="556">
        <v>3</v>
      </c>
      <c r="C362" t="s">
        <v>1502</v>
      </c>
      <c r="D362" t="s">
        <v>1577</v>
      </c>
      <c r="E362" s="556">
        <f ca="1">VLOOKUP(A362,Data!C:I,7,FALSE)</f>
        <v>0</v>
      </c>
      <c r="F362" s="636" t="str">
        <f t="shared" si="34"/>
        <v>DE.AE-33</v>
      </c>
      <c r="G362" s="636" t="str">
        <f t="shared" ca="1" si="35"/>
        <v>DE.AE-330</v>
      </c>
    </row>
    <row r="363" spans="1:7" x14ac:dyDescent="0.25">
      <c r="A363" t="s">
        <v>246</v>
      </c>
      <c r="B363" s="556">
        <v>1</v>
      </c>
      <c r="C363" t="s">
        <v>1502</v>
      </c>
      <c r="D363" t="s">
        <v>1584</v>
      </c>
      <c r="E363" s="556">
        <f ca="1">VLOOKUP(A363,Data!C:I,7,FALSE)</f>
        <v>0</v>
      </c>
      <c r="F363" s="636" t="str">
        <f t="shared" si="34"/>
        <v>DE.AE-51</v>
      </c>
      <c r="G363" s="636" t="str">
        <f t="shared" ca="1" si="35"/>
        <v>DE.AE-510</v>
      </c>
    </row>
    <row r="364" spans="1:7" x14ac:dyDescent="0.25">
      <c r="A364" t="s">
        <v>246</v>
      </c>
      <c r="B364" s="556">
        <v>1</v>
      </c>
      <c r="C364" t="s">
        <v>1503</v>
      </c>
      <c r="D364" t="s">
        <v>1585</v>
      </c>
      <c r="E364" s="556">
        <f ca="1">VLOOKUP(A364,Data!C:I,7,FALSE)</f>
        <v>0</v>
      </c>
      <c r="F364" s="636" t="str">
        <f t="shared" si="34"/>
        <v>RS.AN-41</v>
      </c>
      <c r="G364" s="636" t="str">
        <f t="shared" ca="1" si="35"/>
        <v>RS.AN-410</v>
      </c>
    </row>
    <row r="365" spans="1:7" x14ac:dyDescent="0.25">
      <c r="A365" t="s">
        <v>247</v>
      </c>
      <c r="B365" s="556">
        <v>1</v>
      </c>
      <c r="C365" t="s">
        <v>1502</v>
      </c>
      <c r="D365" t="s">
        <v>1582</v>
      </c>
      <c r="E365" s="556">
        <f ca="1">VLOOKUP(A365,Data!C:I,7,FALSE)</f>
        <v>0</v>
      </c>
      <c r="F365" s="636" t="str">
        <f t="shared" si="34"/>
        <v>DE.AE-21</v>
      </c>
      <c r="G365" s="636" t="str">
        <f t="shared" ca="1" si="35"/>
        <v>DE.AE-210</v>
      </c>
    </row>
    <row r="366" spans="1:7" x14ac:dyDescent="0.25">
      <c r="A366" t="s">
        <v>247</v>
      </c>
      <c r="B366" s="556">
        <v>1</v>
      </c>
      <c r="C366" t="s">
        <v>1502</v>
      </c>
      <c r="D366" t="s">
        <v>1586</v>
      </c>
      <c r="E366" s="556">
        <f ca="1">VLOOKUP(A366,Data!C:I,7,FALSE)</f>
        <v>0</v>
      </c>
      <c r="F366" s="636" t="str">
        <f t="shared" si="34"/>
        <v>DE.AE-41</v>
      </c>
      <c r="G366" s="636" t="str">
        <f t="shared" ca="1" si="35"/>
        <v>DE.AE-410</v>
      </c>
    </row>
    <row r="367" spans="1:7" x14ac:dyDescent="0.25">
      <c r="A367" t="s">
        <v>247</v>
      </c>
      <c r="B367" s="556">
        <v>1</v>
      </c>
      <c r="C367" t="s">
        <v>1503</v>
      </c>
      <c r="D367" t="s">
        <v>1581</v>
      </c>
      <c r="E367" s="556">
        <f ca="1">VLOOKUP(A367,Data!C:I,7,FALSE)</f>
        <v>0</v>
      </c>
      <c r="F367" s="636" t="str">
        <f t="shared" si="34"/>
        <v>RS.AN-11</v>
      </c>
      <c r="G367" s="636" t="str">
        <f t="shared" ca="1" si="35"/>
        <v>RS.AN-110</v>
      </c>
    </row>
    <row r="368" spans="1:7" x14ac:dyDescent="0.25">
      <c r="A368" t="s">
        <v>248</v>
      </c>
      <c r="B368" s="556">
        <v>2</v>
      </c>
      <c r="C368" t="s">
        <v>1502</v>
      </c>
      <c r="D368" t="s">
        <v>1586</v>
      </c>
      <c r="E368" s="556">
        <f ca="1">VLOOKUP(A368,Data!C:I,7,FALSE)</f>
        <v>0</v>
      </c>
      <c r="F368" s="636" t="str">
        <f t="shared" si="34"/>
        <v>DE.AE-42</v>
      </c>
      <c r="G368" s="636" t="str">
        <f t="shared" ca="1" si="35"/>
        <v>DE.AE-420</v>
      </c>
    </row>
    <row r="369" spans="1:7" x14ac:dyDescent="0.25">
      <c r="A369" t="s">
        <v>248</v>
      </c>
      <c r="B369" s="556">
        <v>2</v>
      </c>
      <c r="C369" t="s">
        <v>1502</v>
      </c>
      <c r="D369" t="s">
        <v>1584</v>
      </c>
      <c r="E369" s="556">
        <f ca="1">VLOOKUP(A369,Data!C:I,7,FALSE)</f>
        <v>0</v>
      </c>
      <c r="F369" s="636" t="str">
        <f t="shared" si="34"/>
        <v>DE.AE-52</v>
      </c>
      <c r="G369" s="636" t="str">
        <f t="shared" ca="1" si="35"/>
        <v>DE.AE-520</v>
      </c>
    </row>
    <row r="370" spans="1:7" x14ac:dyDescent="0.25">
      <c r="A370" t="s">
        <v>248</v>
      </c>
      <c r="B370" s="556">
        <v>2</v>
      </c>
      <c r="C370" t="s">
        <v>1503</v>
      </c>
      <c r="D370" t="s">
        <v>1587</v>
      </c>
      <c r="E370" s="556">
        <f ca="1">VLOOKUP(A370,Data!C:I,7,FALSE)</f>
        <v>0</v>
      </c>
      <c r="F370" s="636" t="str">
        <f t="shared" si="34"/>
        <v>RS.AN-22</v>
      </c>
      <c r="G370" s="636" t="str">
        <f t="shared" ca="1" si="35"/>
        <v>RS.AN-220</v>
      </c>
    </row>
    <row r="371" spans="1:7" x14ac:dyDescent="0.25">
      <c r="A371" t="s">
        <v>249</v>
      </c>
      <c r="B371" s="556">
        <v>2</v>
      </c>
      <c r="C371" t="s">
        <v>1502</v>
      </c>
      <c r="D371" t="s">
        <v>1582</v>
      </c>
      <c r="E371" s="556">
        <f ca="1">VLOOKUP(A371,Data!C:I,7,FALSE)</f>
        <v>0</v>
      </c>
      <c r="F371" s="636" t="str">
        <f t="shared" si="34"/>
        <v>DE.AE-22</v>
      </c>
      <c r="G371" s="636" t="str">
        <f t="shared" ca="1" si="35"/>
        <v>DE.AE-220</v>
      </c>
    </row>
    <row r="372" spans="1:7" x14ac:dyDescent="0.25">
      <c r="A372" t="s">
        <v>249</v>
      </c>
      <c r="B372" s="556">
        <v>2</v>
      </c>
      <c r="C372" t="s">
        <v>1503</v>
      </c>
      <c r="D372" t="s">
        <v>1585</v>
      </c>
      <c r="E372" s="556">
        <f ca="1">VLOOKUP(A372,Data!C:I,7,FALSE)</f>
        <v>0</v>
      </c>
      <c r="F372" s="636" t="str">
        <f t="shared" si="34"/>
        <v>RS.AN-42</v>
      </c>
      <c r="G372" s="636" t="str">
        <f t="shared" ca="1" si="35"/>
        <v>RS.AN-420</v>
      </c>
    </row>
    <row r="373" spans="1:7" x14ac:dyDescent="0.25">
      <c r="A373" t="s">
        <v>250</v>
      </c>
      <c r="B373" s="556">
        <v>2</v>
      </c>
      <c r="C373" t="s">
        <v>1502</v>
      </c>
      <c r="D373" t="s">
        <v>1584</v>
      </c>
      <c r="E373" s="556">
        <f ca="1">VLOOKUP(A373,Data!C:I,7,FALSE)</f>
        <v>0</v>
      </c>
      <c r="F373" s="636" t="str">
        <f t="shared" si="34"/>
        <v>DE.AE-52</v>
      </c>
      <c r="G373" s="636" t="str">
        <f t="shared" ca="1" si="35"/>
        <v>DE.AE-520</v>
      </c>
    </row>
    <row r="374" spans="1:7" x14ac:dyDescent="0.25">
      <c r="A374" t="s">
        <v>250</v>
      </c>
      <c r="B374" s="556">
        <v>2</v>
      </c>
      <c r="C374" t="s">
        <v>1502</v>
      </c>
      <c r="D374" t="s">
        <v>1588</v>
      </c>
      <c r="E374" s="556">
        <f ca="1">VLOOKUP(A374,Data!C:I,7,FALSE)</f>
        <v>0</v>
      </c>
      <c r="F374" s="636" t="str">
        <f t="shared" si="34"/>
        <v>DE.DP-32</v>
      </c>
      <c r="G374" s="636" t="str">
        <f t="shared" ca="1" si="35"/>
        <v>DE.DP-320</v>
      </c>
    </row>
    <row r="375" spans="1:7" x14ac:dyDescent="0.25">
      <c r="A375" t="s">
        <v>250</v>
      </c>
      <c r="B375" s="556">
        <v>2</v>
      </c>
      <c r="C375" t="s">
        <v>1502</v>
      </c>
      <c r="D375" t="s">
        <v>1583</v>
      </c>
      <c r="E375" s="556">
        <f ca="1">VLOOKUP(A375,Data!C:I,7,FALSE)</f>
        <v>0</v>
      </c>
      <c r="F375" s="636" t="str">
        <f t="shared" si="34"/>
        <v>DE.DP-52</v>
      </c>
      <c r="G375" s="636" t="str">
        <f t="shared" ca="1" si="35"/>
        <v>DE.DP-520</v>
      </c>
    </row>
    <row r="376" spans="1:7" x14ac:dyDescent="0.25">
      <c r="A376" t="s">
        <v>250</v>
      </c>
      <c r="B376" s="556">
        <v>2</v>
      </c>
      <c r="C376" t="s">
        <v>1503</v>
      </c>
      <c r="D376" t="s">
        <v>1585</v>
      </c>
      <c r="E376" s="556">
        <f ca="1">VLOOKUP(A376,Data!C:I,7,FALSE)</f>
        <v>0</v>
      </c>
      <c r="F376" s="636" t="str">
        <f t="shared" si="34"/>
        <v>RS.AN-42</v>
      </c>
      <c r="G376" s="636" t="str">
        <f t="shared" ca="1" si="35"/>
        <v>RS.AN-420</v>
      </c>
    </row>
    <row r="377" spans="1:7" x14ac:dyDescent="0.25">
      <c r="A377" t="s">
        <v>251</v>
      </c>
      <c r="B377" s="556">
        <v>2</v>
      </c>
      <c r="C377" t="s">
        <v>1502</v>
      </c>
      <c r="D377" t="s">
        <v>1582</v>
      </c>
      <c r="E377" s="556">
        <f ca="1">VLOOKUP(A377,Data!C:I,7,FALSE)</f>
        <v>0</v>
      </c>
      <c r="F377" s="636" t="str">
        <f t="shared" si="34"/>
        <v>DE.AE-22</v>
      </c>
      <c r="G377" s="636" t="str">
        <f t="shared" ca="1" si="35"/>
        <v>DE.AE-220</v>
      </c>
    </row>
    <row r="378" spans="1:7" x14ac:dyDescent="0.25">
      <c r="A378" t="s">
        <v>251</v>
      </c>
      <c r="B378" s="556">
        <v>2</v>
      </c>
      <c r="C378" t="s">
        <v>1503</v>
      </c>
      <c r="D378" t="s">
        <v>1581</v>
      </c>
      <c r="E378" s="556">
        <f ca="1">VLOOKUP(A378,Data!C:I,7,FALSE)</f>
        <v>0</v>
      </c>
      <c r="F378" s="636" t="str">
        <f t="shared" si="34"/>
        <v>RS.AN-12</v>
      </c>
      <c r="G378" s="636" t="str">
        <f t="shared" ca="1" si="35"/>
        <v>RS.AN-120</v>
      </c>
    </row>
    <row r="379" spans="1:7" x14ac:dyDescent="0.25">
      <c r="A379" t="s">
        <v>252</v>
      </c>
      <c r="B379" s="556">
        <v>2</v>
      </c>
      <c r="C379" t="s">
        <v>1502</v>
      </c>
      <c r="D379" t="s">
        <v>1578</v>
      </c>
      <c r="E379" s="556">
        <f ca="1">VLOOKUP(A379,Data!C:I,7,FALSE)</f>
        <v>0</v>
      </c>
      <c r="F379" s="636" t="str">
        <f t="shared" si="34"/>
        <v>DE.DP-12</v>
      </c>
      <c r="G379" s="636" t="str">
        <f t="shared" ca="1" si="35"/>
        <v>DE.DP-120</v>
      </c>
    </row>
    <row r="380" spans="1:7" x14ac:dyDescent="0.25">
      <c r="A380" t="s">
        <v>252</v>
      </c>
      <c r="B380" s="556">
        <v>2</v>
      </c>
      <c r="C380" t="s">
        <v>1502</v>
      </c>
      <c r="D380" t="s">
        <v>1579</v>
      </c>
      <c r="E380" s="556">
        <f ca="1">VLOOKUP(A380,Data!C:I,7,FALSE)</f>
        <v>0</v>
      </c>
      <c r="F380" s="636" t="str">
        <f t="shared" si="34"/>
        <v>DE.DP-42</v>
      </c>
      <c r="G380" s="636" t="str">
        <f t="shared" ca="1" si="35"/>
        <v>DE.DP-420</v>
      </c>
    </row>
    <row r="381" spans="1:7" x14ac:dyDescent="0.25">
      <c r="A381" t="s">
        <v>252</v>
      </c>
      <c r="B381" s="556">
        <v>2</v>
      </c>
      <c r="C381" t="s">
        <v>1504</v>
      </c>
      <c r="D381" t="s">
        <v>1589</v>
      </c>
      <c r="E381" s="556">
        <f ca="1">VLOOKUP(A381,Data!C:I,7,FALSE)</f>
        <v>0</v>
      </c>
      <c r="F381" s="636" t="str">
        <f t="shared" si="34"/>
        <v>RC.CO-32</v>
      </c>
      <c r="G381" s="636" t="str">
        <f t="shared" ca="1" si="35"/>
        <v>RC.CO-320</v>
      </c>
    </row>
    <row r="382" spans="1:7" x14ac:dyDescent="0.25">
      <c r="A382" t="s">
        <v>252</v>
      </c>
      <c r="B382" s="556">
        <v>2</v>
      </c>
      <c r="C382" t="s">
        <v>1503</v>
      </c>
      <c r="D382" t="s">
        <v>1574</v>
      </c>
      <c r="E382" s="556">
        <f ca="1">VLOOKUP(A382,Data!C:I,7,FALSE)</f>
        <v>0</v>
      </c>
      <c r="F382" s="636" t="str">
        <f t="shared" si="34"/>
        <v>RS.CO-22</v>
      </c>
      <c r="G382" s="636" t="str">
        <f t="shared" ca="1" si="35"/>
        <v>RS.CO-220</v>
      </c>
    </row>
    <row r="383" spans="1:7" x14ac:dyDescent="0.25">
      <c r="A383" t="s">
        <v>252</v>
      </c>
      <c r="B383" s="556">
        <v>2</v>
      </c>
      <c r="C383" t="s">
        <v>1503</v>
      </c>
      <c r="D383" t="s">
        <v>1575</v>
      </c>
      <c r="E383" s="556">
        <f ca="1">VLOOKUP(A383,Data!C:I,7,FALSE)</f>
        <v>0</v>
      </c>
      <c r="F383" s="636" t="str">
        <f t="shared" si="34"/>
        <v>RS.CO-32</v>
      </c>
      <c r="G383" s="636" t="str">
        <f t="shared" ca="1" si="35"/>
        <v>RS.CO-320</v>
      </c>
    </row>
    <row r="384" spans="1:7" x14ac:dyDescent="0.25">
      <c r="A384" t="s">
        <v>252</v>
      </c>
      <c r="B384" s="556">
        <v>2</v>
      </c>
      <c r="C384" t="s">
        <v>1503</v>
      </c>
      <c r="D384" t="s">
        <v>1573</v>
      </c>
      <c r="E384" s="556">
        <f ca="1">VLOOKUP(A384,Data!C:I,7,FALSE)</f>
        <v>0</v>
      </c>
      <c r="F384" s="636" t="str">
        <f t="shared" si="34"/>
        <v>RS.CO-42</v>
      </c>
      <c r="G384" s="636" t="str">
        <f t="shared" ca="1" si="35"/>
        <v>RS.CO-420</v>
      </c>
    </row>
    <row r="385" spans="1:7" x14ac:dyDescent="0.25">
      <c r="A385" t="s">
        <v>253</v>
      </c>
      <c r="B385" s="556">
        <v>3</v>
      </c>
      <c r="C385" t="s">
        <v>1502</v>
      </c>
      <c r="D385" t="s">
        <v>1586</v>
      </c>
      <c r="E385" s="556">
        <f ca="1">VLOOKUP(A385,Data!C:I,7,FALSE)</f>
        <v>0</v>
      </c>
      <c r="F385" s="636" t="str">
        <f t="shared" si="34"/>
        <v>DE.AE-43</v>
      </c>
      <c r="G385" s="636" t="str">
        <f t="shared" ca="1" si="35"/>
        <v>DE.AE-430</v>
      </c>
    </row>
    <row r="386" spans="1:7" x14ac:dyDescent="0.25">
      <c r="A386" t="s">
        <v>253</v>
      </c>
      <c r="B386" s="556">
        <v>3</v>
      </c>
      <c r="C386" t="s">
        <v>1502</v>
      </c>
      <c r="D386" t="s">
        <v>1584</v>
      </c>
      <c r="E386" s="556">
        <f ca="1">VLOOKUP(A386,Data!C:I,7,FALSE)</f>
        <v>0</v>
      </c>
      <c r="F386" s="636" t="str">
        <f t="shared" si="34"/>
        <v>DE.AE-53</v>
      </c>
      <c r="G386" s="636" t="str">
        <f t="shared" ca="1" si="35"/>
        <v>DE.AE-530</v>
      </c>
    </row>
    <row r="387" spans="1:7" x14ac:dyDescent="0.25">
      <c r="A387" t="s">
        <v>253</v>
      </c>
      <c r="B387" s="556">
        <v>3</v>
      </c>
      <c r="C387" t="s">
        <v>1503</v>
      </c>
      <c r="D387" t="s">
        <v>1587</v>
      </c>
      <c r="E387" s="556">
        <f ca="1">VLOOKUP(A387,Data!C:I,7,FALSE)</f>
        <v>0</v>
      </c>
      <c r="F387" s="636" t="str">
        <f t="shared" ref="F387:F450" si="36">CONCATENATE($D387,$B387)</f>
        <v>RS.AN-23</v>
      </c>
      <c r="G387" s="636" t="str">
        <f t="shared" ref="G387:G450" ca="1" si="37">_xlfn.IFNA(CONCATENATE(F387,$E387),CONCATENATE(F387,$E387,0))</f>
        <v>RS.AN-230</v>
      </c>
    </row>
    <row r="388" spans="1:7" x14ac:dyDescent="0.25">
      <c r="A388" t="s">
        <v>254</v>
      </c>
      <c r="B388" s="556">
        <v>3</v>
      </c>
      <c r="C388" t="s">
        <v>1502</v>
      </c>
      <c r="D388" t="s">
        <v>1582</v>
      </c>
      <c r="E388" s="556">
        <f ca="1">VLOOKUP(A388,Data!C:I,7,FALSE)</f>
        <v>0</v>
      </c>
      <c r="F388" s="636" t="str">
        <f t="shared" si="36"/>
        <v>DE.AE-23</v>
      </c>
      <c r="G388" s="636" t="str">
        <f t="shared" ca="1" si="37"/>
        <v>DE.AE-230</v>
      </c>
    </row>
    <row r="389" spans="1:7" x14ac:dyDescent="0.25">
      <c r="A389" t="s">
        <v>254</v>
      </c>
      <c r="B389" s="556">
        <v>3</v>
      </c>
      <c r="C389" t="s">
        <v>1502</v>
      </c>
      <c r="D389" t="s">
        <v>1577</v>
      </c>
      <c r="E389" s="556">
        <f ca="1">VLOOKUP(A389,Data!C:I,7,FALSE)</f>
        <v>0</v>
      </c>
      <c r="F389" s="636" t="str">
        <f t="shared" si="36"/>
        <v>DE.AE-33</v>
      </c>
      <c r="G389" s="636" t="str">
        <f t="shared" ca="1" si="37"/>
        <v>DE.AE-330</v>
      </c>
    </row>
    <row r="390" spans="1:7" x14ac:dyDescent="0.25">
      <c r="A390" t="s">
        <v>254</v>
      </c>
      <c r="B390" s="556">
        <v>3</v>
      </c>
      <c r="C390" t="s">
        <v>1503</v>
      </c>
      <c r="D390" t="s">
        <v>1581</v>
      </c>
      <c r="E390" s="556">
        <f ca="1">VLOOKUP(A390,Data!C:I,7,FALSE)</f>
        <v>0</v>
      </c>
      <c r="F390" s="636" t="str">
        <f t="shared" si="36"/>
        <v>RS.AN-13</v>
      </c>
      <c r="G390" s="636" t="str">
        <f t="shared" ca="1" si="37"/>
        <v>RS.AN-130</v>
      </c>
    </row>
    <row r="391" spans="1:7" x14ac:dyDescent="0.25">
      <c r="A391" t="s">
        <v>255</v>
      </c>
      <c r="B391" s="556">
        <v>1</v>
      </c>
      <c r="C391" t="s">
        <v>1501</v>
      </c>
      <c r="D391" t="s">
        <v>1569</v>
      </c>
      <c r="E391" s="556">
        <f ca="1">VLOOKUP(A391,Data!C:I,7,FALSE)</f>
        <v>0</v>
      </c>
      <c r="F391" s="636" t="str">
        <f t="shared" si="36"/>
        <v>PR.IP-91</v>
      </c>
      <c r="G391" s="636" t="str">
        <f t="shared" ca="1" si="37"/>
        <v>PR.IP-910</v>
      </c>
    </row>
    <row r="392" spans="1:7" x14ac:dyDescent="0.25">
      <c r="A392" t="s">
        <v>255</v>
      </c>
      <c r="B392" s="556">
        <v>1</v>
      </c>
      <c r="C392" t="s">
        <v>1503</v>
      </c>
      <c r="D392" t="s">
        <v>1571</v>
      </c>
      <c r="E392" s="556">
        <f ca="1">VLOOKUP(A392,Data!C:I,7,FALSE)</f>
        <v>0</v>
      </c>
      <c r="F392" s="636" t="str">
        <f t="shared" si="36"/>
        <v>RS.CO-11</v>
      </c>
      <c r="G392" s="636" t="str">
        <f t="shared" ca="1" si="37"/>
        <v>RS.CO-110</v>
      </c>
    </row>
    <row r="393" spans="1:7" x14ac:dyDescent="0.25">
      <c r="A393" t="s">
        <v>256</v>
      </c>
      <c r="B393" s="556">
        <v>1</v>
      </c>
      <c r="C393" t="s">
        <v>1501</v>
      </c>
      <c r="D393" t="s">
        <v>1569</v>
      </c>
      <c r="E393" s="556">
        <f ca="1">VLOOKUP(A393,Data!C:I,7,FALSE)</f>
        <v>0</v>
      </c>
      <c r="F393" s="636" t="str">
        <f t="shared" si="36"/>
        <v>PR.IP-91</v>
      </c>
      <c r="G393" s="636" t="str">
        <f t="shared" ca="1" si="37"/>
        <v>PR.IP-910</v>
      </c>
    </row>
    <row r="394" spans="1:7" x14ac:dyDescent="0.25">
      <c r="A394" t="s">
        <v>256</v>
      </c>
      <c r="B394" s="556">
        <v>1</v>
      </c>
      <c r="C394" t="s">
        <v>1504</v>
      </c>
      <c r="D394" t="s">
        <v>1590</v>
      </c>
      <c r="E394" s="556">
        <f ca="1">VLOOKUP(A394,Data!C:I,7,FALSE)</f>
        <v>0</v>
      </c>
      <c r="F394" s="636" t="str">
        <f t="shared" si="36"/>
        <v>RC.RP-11</v>
      </c>
      <c r="G394" s="636" t="str">
        <f t="shared" ca="1" si="37"/>
        <v>RC.RP-110</v>
      </c>
    </row>
    <row r="395" spans="1:7" x14ac:dyDescent="0.25">
      <c r="A395" t="s">
        <v>256</v>
      </c>
      <c r="B395" s="556">
        <v>1</v>
      </c>
      <c r="C395" t="s">
        <v>1503</v>
      </c>
      <c r="D395" t="s">
        <v>1591</v>
      </c>
      <c r="E395" s="556">
        <f ca="1">VLOOKUP(A395,Data!C:I,7,FALSE)</f>
        <v>0</v>
      </c>
      <c r="F395" s="636" t="str">
        <f t="shared" si="36"/>
        <v>RS.MI-11</v>
      </c>
      <c r="G395" s="636" t="str">
        <f t="shared" ca="1" si="37"/>
        <v>RS.MI-110</v>
      </c>
    </row>
    <row r="396" spans="1:7" x14ac:dyDescent="0.25">
      <c r="A396" t="s">
        <v>256</v>
      </c>
      <c r="B396" s="556">
        <v>1</v>
      </c>
      <c r="C396" t="s">
        <v>1503</v>
      </c>
      <c r="D396" t="s">
        <v>1592</v>
      </c>
      <c r="E396" s="556">
        <f ca="1">VLOOKUP(A396,Data!C:I,7,FALSE)</f>
        <v>0</v>
      </c>
      <c r="F396" s="636" t="str">
        <f t="shared" si="36"/>
        <v>RS.MI-21</v>
      </c>
      <c r="G396" s="636" t="str">
        <f t="shared" ca="1" si="37"/>
        <v>RS.MI-210</v>
      </c>
    </row>
    <row r="397" spans="1:7" x14ac:dyDescent="0.25">
      <c r="A397" t="s">
        <v>256</v>
      </c>
      <c r="B397" s="556">
        <v>1</v>
      </c>
      <c r="C397" t="s">
        <v>1503</v>
      </c>
      <c r="D397" t="s">
        <v>1570</v>
      </c>
      <c r="E397" s="556">
        <f ca="1">VLOOKUP(A397,Data!C:I,7,FALSE)</f>
        <v>0</v>
      </c>
      <c r="F397" s="636" t="str">
        <f t="shared" si="36"/>
        <v>RS.RP-11</v>
      </c>
      <c r="G397" s="636" t="str">
        <f t="shared" ca="1" si="37"/>
        <v>RS.RP-110</v>
      </c>
    </row>
    <row r="398" spans="1:7" x14ac:dyDescent="0.25">
      <c r="A398" t="s">
        <v>257</v>
      </c>
      <c r="B398" s="556">
        <v>1</v>
      </c>
      <c r="C398" t="s">
        <v>1502</v>
      </c>
      <c r="D398" t="s">
        <v>1579</v>
      </c>
      <c r="E398" s="556">
        <f ca="1">VLOOKUP(A398,Data!C:I,7,FALSE)</f>
        <v>0</v>
      </c>
      <c r="F398" s="636" t="str">
        <f t="shared" si="36"/>
        <v>DE.DP-41</v>
      </c>
      <c r="G398" s="636" t="str">
        <f t="shared" ca="1" si="37"/>
        <v>DE.DP-410</v>
      </c>
    </row>
    <row r="399" spans="1:7" x14ac:dyDescent="0.25">
      <c r="A399" t="s">
        <v>257</v>
      </c>
      <c r="B399" s="556">
        <v>1</v>
      </c>
      <c r="C399" t="s">
        <v>1501</v>
      </c>
      <c r="D399" t="s">
        <v>1569</v>
      </c>
      <c r="E399" s="556">
        <f ca="1">VLOOKUP(A399,Data!C:I,7,FALSE)</f>
        <v>0</v>
      </c>
      <c r="F399" s="636" t="str">
        <f t="shared" si="36"/>
        <v>PR.IP-91</v>
      </c>
      <c r="G399" s="636" t="str">
        <f t="shared" ca="1" si="37"/>
        <v>PR.IP-910</v>
      </c>
    </row>
    <row r="400" spans="1:7" x14ac:dyDescent="0.25">
      <c r="A400" t="s">
        <v>257</v>
      </c>
      <c r="B400" s="556">
        <v>1</v>
      </c>
      <c r="C400" t="s">
        <v>1503</v>
      </c>
      <c r="D400" t="s">
        <v>1570</v>
      </c>
      <c r="E400" s="556">
        <f ca="1">VLOOKUP(A400,Data!C:I,7,FALSE)</f>
        <v>0</v>
      </c>
      <c r="F400" s="636" t="str">
        <f t="shared" si="36"/>
        <v>RS.RP-11</v>
      </c>
      <c r="G400" s="636" t="str">
        <f t="shared" ca="1" si="37"/>
        <v>RS.RP-110</v>
      </c>
    </row>
    <row r="401" spans="1:7" x14ac:dyDescent="0.25">
      <c r="A401" t="s">
        <v>258</v>
      </c>
      <c r="B401" s="556">
        <v>2</v>
      </c>
      <c r="C401" t="s">
        <v>1501</v>
      </c>
      <c r="D401" t="s">
        <v>1569</v>
      </c>
      <c r="E401" s="556">
        <f ca="1">VLOOKUP(A401,Data!C:I,7,FALSE)</f>
        <v>0</v>
      </c>
      <c r="F401" s="636" t="str">
        <f t="shared" si="36"/>
        <v>PR.IP-92</v>
      </c>
      <c r="G401" s="636" t="str">
        <f t="shared" ca="1" si="37"/>
        <v>PR.IP-920</v>
      </c>
    </row>
    <row r="402" spans="1:7" x14ac:dyDescent="0.25">
      <c r="A402" t="s">
        <v>258</v>
      </c>
      <c r="B402" s="556">
        <v>2</v>
      </c>
      <c r="C402" t="s">
        <v>1504</v>
      </c>
      <c r="D402" t="s">
        <v>1593</v>
      </c>
      <c r="E402" s="556">
        <f ca="1">VLOOKUP(A402,Data!C:I,7,FALSE)</f>
        <v>0</v>
      </c>
      <c r="F402" s="636" t="str">
        <f t="shared" si="36"/>
        <v>RC.CO-22</v>
      </c>
      <c r="G402" s="636" t="str">
        <f t="shared" ca="1" si="37"/>
        <v>RC.CO-220</v>
      </c>
    </row>
    <row r="403" spans="1:7" x14ac:dyDescent="0.25">
      <c r="A403" t="s">
        <v>258</v>
      </c>
      <c r="B403" s="556">
        <v>2</v>
      </c>
      <c r="C403" t="s">
        <v>1504</v>
      </c>
      <c r="D403" t="s">
        <v>1589</v>
      </c>
      <c r="E403" s="556">
        <f ca="1">VLOOKUP(A403,Data!C:I,7,FALSE)</f>
        <v>0</v>
      </c>
      <c r="F403" s="636" t="str">
        <f t="shared" si="36"/>
        <v>RC.CO-32</v>
      </c>
      <c r="G403" s="636" t="str">
        <f t="shared" ca="1" si="37"/>
        <v>RC.CO-320</v>
      </c>
    </row>
    <row r="404" spans="1:7" x14ac:dyDescent="0.25">
      <c r="A404" t="s">
        <v>258</v>
      </c>
      <c r="B404" s="556">
        <v>2</v>
      </c>
      <c r="C404" t="s">
        <v>1504</v>
      </c>
      <c r="D404" t="s">
        <v>1590</v>
      </c>
      <c r="E404" s="556">
        <f ca="1">VLOOKUP(A404,Data!C:I,7,FALSE)</f>
        <v>0</v>
      </c>
      <c r="F404" s="636" t="str">
        <f t="shared" si="36"/>
        <v>RC.RP-12</v>
      </c>
      <c r="G404" s="636" t="str">
        <f t="shared" ca="1" si="37"/>
        <v>RC.RP-120</v>
      </c>
    </row>
    <row r="405" spans="1:7" x14ac:dyDescent="0.25">
      <c r="A405" t="s">
        <v>258</v>
      </c>
      <c r="B405" s="556">
        <v>2</v>
      </c>
      <c r="C405" t="s">
        <v>1503</v>
      </c>
      <c r="D405" t="s">
        <v>1571</v>
      </c>
      <c r="E405" s="556">
        <f ca="1">VLOOKUP(A405,Data!C:I,7,FALSE)</f>
        <v>0</v>
      </c>
      <c r="F405" s="636" t="str">
        <f t="shared" si="36"/>
        <v>RS.CO-12</v>
      </c>
      <c r="G405" s="636" t="str">
        <f t="shared" ca="1" si="37"/>
        <v>RS.CO-120</v>
      </c>
    </row>
    <row r="406" spans="1:7" x14ac:dyDescent="0.25">
      <c r="A406" t="s">
        <v>258</v>
      </c>
      <c r="B406" s="556">
        <v>2</v>
      </c>
      <c r="C406" t="s">
        <v>1503</v>
      </c>
      <c r="D406" t="s">
        <v>1570</v>
      </c>
      <c r="E406" s="556">
        <f ca="1">VLOOKUP(A406,Data!C:I,7,FALSE)</f>
        <v>0</v>
      </c>
      <c r="F406" s="636" t="str">
        <f t="shared" si="36"/>
        <v>RS.RP-12</v>
      </c>
      <c r="G406" s="636" t="str">
        <f t="shared" ca="1" si="37"/>
        <v>RS.RP-120</v>
      </c>
    </row>
    <row r="407" spans="1:7" x14ac:dyDescent="0.25">
      <c r="A407" t="s">
        <v>259</v>
      </c>
      <c r="B407" s="556">
        <v>2</v>
      </c>
      <c r="C407" t="s">
        <v>1501</v>
      </c>
      <c r="D407" t="s">
        <v>1569</v>
      </c>
      <c r="E407" s="556">
        <f ca="1">VLOOKUP(A407,Data!C:I,7,FALSE)</f>
        <v>0</v>
      </c>
      <c r="F407" s="636" t="str">
        <f t="shared" si="36"/>
        <v>PR.IP-92</v>
      </c>
      <c r="G407" s="636" t="str">
        <f t="shared" ca="1" si="37"/>
        <v>PR.IP-920</v>
      </c>
    </row>
    <row r="408" spans="1:7" x14ac:dyDescent="0.25">
      <c r="A408" t="s">
        <v>259</v>
      </c>
      <c r="B408" s="556">
        <v>2</v>
      </c>
      <c r="C408" t="s">
        <v>1504</v>
      </c>
      <c r="D408" t="s">
        <v>1590</v>
      </c>
      <c r="E408" s="556">
        <f ca="1">VLOOKUP(A408,Data!C:I,7,FALSE)</f>
        <v>0</v>
      </c>
      <c r="F408" s="636" t="str">
        <f t="shared" si="36"/>
        <v>RC.RP-12</v>
      </c>
      <c r="G408" s="636" t="str">
        <f t="shared" ca="1" si="37"/>
        <v>RC.RP-120</v>
      </c>
    </row>
    <row r="409" spans="1:7" x14ac:dyDescent="0.25">
      <c r="A409" t="s">
        <v>259</v>
      </c>
      <c r="B409" s="556">
        <v>2</v>
      </c>
      <c r="C409" t="s">
        <v>1503</v>
      </c>
      <c r="D409" t="s">
        <v>1574</v>
      </c>
      <c r="E409" s="556">
        <f ca="1">VLOOKUP(A409,Data!C:I,7,FALSE)</f>
        <v>0</v>
      </c>
      <c r="F409" s="636" t="str">
        <f t="shared" si="36"/>
        <v>RS.CO-22</v>
      </c>
      <c r="G409" s="636" t="str">
        <f t="shared" ca="1" si="37"/>
        <v>RS.CO-220</v>
      </c>
    </row>
    <row r="410" spans="1:7" x14ac:dyDescent="0.25">
      <c r="A410" t="s">
        <v>259</v>
      </c>
      <c r="B410" s="556">
        <v>2</v>
      </c>
      <c r="C410" t="s">
        <v>1503</v>
      </c>
      <c r="D410" t="s">
        <v>1575</v>
      </c>
      <c r="E410" s="556">
        <f ca="1">VLOOKUP(A410,Data!C:I,7,FALSE)</f>
        <v>0</v>
      </c>
      <c r="F410" s="636" t="str">
        <f t="shared" si="36"/>
        <v>RS.CO-32</v>
      </c>
      <c r="G410" s="636" t="str">
        <f t="shared" ca="1" si="37"/>
        <v>RS.CO-320</v>
      </c>
    </row>
    <row r="411" spans="1:7" x14ac:dyDescent="0.25">
      <c r="A411" t="s">
        <v>259</v>
      </c>
      <c r="B411" s="556">
        <v>2</v>
      </c>
      <c r="C411" t="s">
        <v>1503</v>
      </c>
      <c r="D411" t="s">
        <v>1573</v>
      </c>
      <c r="E411" s="556">
        <f ca="1">VLOOKUP(A411,Data!C:I,7,FALSE)</f>
        <v>0</v>
      </c>
      <c r="F411" s="636" t="str">
        <f t="shared" si="36"/>
        <v>RS.CO-42</v>
      </c>
      <c r="G411" s="636" t="str">
        <f t="shared" ca="1" si="37"/>
        <v>RS.CO-420</v>
      </c>
    </row>
    <row r="412" spans="1:7" x14ac:dyDescent="0.25">
      <c r="A412" t="s">
        <v>259</v>
      </c>
      <c r="B412" s="556">
        <v>2</v>
      </c>
      <c r="C412" t="s">
        <v>1503</v>
      </c>
      <c r="D412" t="s">
        <v>1570</v>
      </c>
      <c r="E412" s="556">
        <f ca="1">VLOOKUP(A412,Data!C:I,7,FALSE)</f>
        <v>0</v>
      </c>
      <c r="F412" s="636" t="str">
        <f t="shared" si="36"/>
        <v>RS.RP-12</v>
      </c>
      <c r="G412" s="636" t="str">
        <f t="shared" ca="1" si="37"/>
        <v>RS.RP-120</v>
      </c>
    </row>
    <row r="413" spans="1:7" x14ac:dyDescent="0.25">
      <c r="A413" t="s">
        <v>260</v>
      </c>
      <c r="B413" s="556">
        <v>2</v>
      </c>
      <c r="C413" t="s">
        <v>1502</v>
      </c>
      <c r="D413" t="s">
        <v>1588</v>
      </c>
      <c r="E413" s="556">
        <f ca="1">VLOOKUP(A413,Data!C:I,7,FALSE)</f>
        <v>0</v>
      </c>
      <c r="F413" s="636" t="str">
        <f t="shared" si="36"/>
        <v>DE.DP-32</v>
      </c>
      <c r="G413" s="636" t="str">
        <f t="shared" ca="1" si="37"/>
        <v>DE.DP-320</v>
      </c>
    </row>
    <row r="414" spans="1:7" x14ac:dyDescent="0.25">
      <c r="A414" t="s">
        <v>260</v>
      </c>
      <c r="B414" s="556">
        <v>2</v>
      </c>
      <c r="C414" t="s">
        <v>446</v>
      </c>
      <c r="D414" t="s">
        <v>1572</v>
      </c>
      <c r="E414" s="556">
        <f ca="1">VLOOKUP(A414,Data!C:I,7,FALSE)</f>
        <v>0</v>
      </c>
      <c r="F414" s="636" t="str">
        <f t="shared" si="36"/>
        <v>ID.SC-52</v>
      </c>
      <c r="G414" s="636" t="str">
        <f t="shared" ca="1" si="37"/>
        <v>ID.SC-520</v>
      </c>
    </row>
    <row r="415" spans="1:7" x14ac:dyDescent="0.25">
      <c r="A415" t="s">
        <v>260</v>
      </c>
      <c r="B415" s="556">
        <v>2</v>
      </c>
      <c r="C415" t="s">
        <v>1501</v>
      </c>
      <c r="D415" t="s">
        <v>1594</v>
      </c>
      <c r="E415" s="556">
        <f ca="1">VLOOKUP(A415,Data!C:I,7,FALSE)</f>
        <v>0</v>
      </c>
      <c r="F415" s="636" t="str">
        <f t="shared" si="36"/>
        <v>PR.IP-102</v>
      </c>
      <c r="G415" s="636" t="str">
        <f t="shared" ca="1" si="37"/>
        <v>PR.IP-1020</v>
      </c>
    </row>
    <row r="416" spans="1:7" x14ac:dyDescent="0.25">
      <c r="A416" t="s">
        <v>260</v>
      </c>
      <c r="B416" s="556">
        <v>2</v>
      </c>
      <c r="C416" t="s">
        <v>1501</v>
      </c>
      <c r="D416" t="s">
        <v>1569</v>
      </c>
      <c r="E416" s="556">
        <f ca="1">VLOOKUP(A416,Data!C:I,7,FALSE)</f>
        <v>0</v>
      </c>
      <c r="F416" s="636" t="str">
        <f t="shared" si="36"/>
        <v>PR.IP-92</v>
      </c>
      <c r="G416" s="636" t="str">
        <f t="shared" ca="1" si="37"/>
        <v>PR.IP-920</v>
      </c>
    </row>
    <row r="417" spans="1:7" x14ac:dyDescent="0.25">
      <c r="A417" t="s">
        <v>261</v>
      </c>
      <c r="B417" s="556">
        <v>2</v>
      </c>
      <c r="C417" t="s">
        <v>1502</v>
      </c>
      <c r="D417" t="s">
        <v>1582</v>
      </c>
      <c r="E417" s="556">
        <f ca="1">VLOOKUP(A417,Data!C:I,7,FALSE)</f>
        <v>0</v>
      </c>
      <c r="F417" s="636" t="str">
        <f t="shared" si="36"/>
        <v>DE.AE-22</v>
      </c>
      <c r="G417" s="636" t="str">
        <f t="shared" ca="1" si="37"/>
        <v>DE.AE-220</v>
      </c>
    </row>
    <row r="418" spans="1:7" x14ac:dyDescent="0.25">
      <c r="A418" t="s">
        <v>261</v>
      </c>
      <c r="B418" s="556">
        <v>2</v>
      </c>
      <c r="C418" t="s">
        <v>1502</v>
      </c>
      <c r="D418" t="s">
        <v>1583</v>
      </c>
      <c r="E418" s="556">
        <f ca="1">VLOOKUP(A418,Data!C:I,7,FALSE)</f>
        <v>0</v>
      </c>
      <c r="F418" s="636" t="str">
        <f t="shared" si="36"/>
        <v>DE.DP-52</v>
      </c>
      <c r="G418" s="636" t="str">
        <f t="shared" ca="1" si="37"/>
        <v>DE.DP-520</v>
      </c>
    </row>
    <row r="419" spans="1:7" x14ac:dyDescent="0.25">
      <c r="A419" t="s">
        <v>261</v>
      </c>
      <c r="B419" s="556">
        <v>2</v>
      </c>
      <c r="C419" t="s">
        <v>1501</v>
      </c>
      <c r="D419" t="s">
        <v>1569</v>
      </c>
      <c r="E419" s="556">
        <f ca="1">VLOOKUP(A419,Data!C:I,7,FALSE)</f>
        <v>0</v>
      </c>
      <c r="F419" s="636" t="str">
        <f t="shared" si="36"/>
        <v>PR.IP-92</v>
      </c>
      <c r="G419" s="636" t="str">
        <f t="shared" ca="1" si="37"/>
        <v>PR.IP-920</v>
      </c>
    </row>
    <row r="420" spans="1:7" x14ac:dyDescent="0.25">
      <c r="A420" t="s">
        <v>261</v>
      </c>
      <c r="B420" s="556">
        <v>2</v>
      </c>
      <c r="C420" t="s">
        <v>1504</v>
      </c>
      <c r="D420" t="s">
        <v>1595</v>
      </c>
      <c r="E420" s="556">
        <f ca="1">VLOOKUP(A420,Data!C:I,7,FALSE)</f>
        <v>0</v>
      </c>
      <c r="F420" s="636" t="str">
        <f t="shared" si="36"/>
        <v>RC.IM-12</v>
      </c>
      <c r="G420" s="636" t="str">
        <f t="shared" ca="1" si="37"/>
        <v>RC.IM-120</v>
      </c>
    </row>
    <row r="421" spans="1:7" x14ac:dyDescent="0.25">
      <c r="A421" t="s">
        <v>261</v>
      </c>
      <c r="B421" s="556">
        <v>2</v>
      </c>
      <c r="C421" t="s">
        <v>1504</v>
      </c>
      <c r="D421" t="s">
        <v>1596</v>
      </c>
      <c r="E421" s="556">
        <f ca="1">VLOOKUP(A421,Data!C:I,7,FALSE)</f>
        <v>0</v>
      </c>
      <c r="F421" s="636" t="str">
        <f t="shared" si="36"/>
        <v>RC.IM-22</v>
      </c>
      <c r="G421" s="636" t="str">
        <f t="shared" ca="1" si="37"/>
        <v>RC.IM-220</v>
      </c>
    </row>
    <row r="422" spans="1:7" x14ac:dyDescent="0.25">
      <c r="A422" t="s">
        <v>261</v>
      </c>
      <c r="B422" s="556">
        <v>2</v>
      </c>
      <c r="C422" t="s">
        <v>1503</v>
      </c>
      <c r="D422" t="s">
        <v>1597</v>
      </c>
      <c r="E422" s="556">
        <f ca="1">VLOOKUP(A422,Data!C:I,7,FALSE)</f>
        <v>0</v>
      </c>
      <c r="F422" s="636" t="str">
        <f t="shared" si="36"/>
        <v>RS.IM-12</v>
      </c>
      <c r="G422" s="636" t="str">
        <f t="shared" ca="1" si="37"/>
        <v>RS.IM-120</v>
      </c>
    </row>
    <row r="423" spans="1:7" x14ac:dyDescent="0.25">
      <c r="A423" t="s">
        <v>261</v>
      </c>
      <c r="B423" s="556">
        <v>2</v>
      </c>
      <c r="C423" t="s">
        <v>1503</v>
      </c>
      <c r="D423" t="s">
        <v>1598</v>
      </c>
      <c r="E423" s="556">
        <f ca="1">VLOOKUP(A423,Data!C:I,7,FALSE)</f>
        <v>0</v>
      </c>
      <c r="F423" s="636" t="str">
        <f t="shared" si="36"/>
        <v>RS.IM-22</v>
      </c>
      <c r="G423" s="636" t="str">
        <f t="shared" ca="1" si="37"/>
        <v>RS.IM-220</v>
      </c>
    </row>
    <row r="424" spans="1:7" x14ac:dyDescent="0.25">
      <c r="A424" t="s">
        <v>262</v>
      </c>
      <c r="B424" s="556">
        <v>3</v>
      </c>
      <c r="C424" t="s">
        <v>1501</v>
      </c>
      <c r="D424" t="s">
        <v>1569</v>
      </c>
      <c r="E424" s="556">
        <f ca="1">VLOOKUP(A424,Data!C:I,7,FALSE)</f>
        <v>0</v>
      </c>
      <c r="F424" s="636" t="str">
        <f t="shared" si="36"/>
        <v>PR.IP-93</v>
      </c>
      <c r="G424" s="636" t="str">
        <f t="shared" ca="1" si="37"/>
        <v>PR.IP-930</v>
      </c>
    </row>
    <row r="425" spans="1:7" x14ac:dyDescent="0.25">
      <c r="A425" t="s">
        <v>262</v>
      </c>
      <c r="B425" s="556">
        <v>3</v>
      </c>
      <c r="C425" t="s">
        <v>1504</v>
      </c>
      <c r="D425" t="s">
        <v>1595</v>
      </c>
      <c r="E425" s="556">
        <f ca="1">VLOOKUP(A425,Data!C:I,7,FALSE)</f>
        <v>0</v>
      </c>
      <c r="F425" s="636" t="str">
        <f t="shared" si="36"/>
        <v>RC.IM-13</v>
      </c>
      <c r="G425" s="636" t="str">
        <f t="shared" ca="1" si="37"/>
        <v>RC.IM-130</v>
      </c>
    </row>
    <row r="426" spans="1:7" x14ac:dyDescent="0.25">
      <c r="A426" t="s">
        <v>262</v>
      </c>
      <c r="B426" s="556">
        <v>3</v>
      </c>
      <c r="C426" t="s">
        <v>1504</v>
      </c>
      <c r="D426" t="s">
        <v>1596</v>
      </c>
      <c r="E426" s="556">
        <f ca="1">VLOOKUP(A426,Data!C:I,7,FALSE)</f>
        <v>0</v>
      </c>
      <c r="F426" s="636" t="str">
        <f t="shared" si="36"/>
        <v>RC.IM-23</v>
      </c>
      <c r="G426" s="636" t="str">
        <f t="shared" ca="1" si="37"/>
        <v>RC.IM-230</v>
      </c>
    </row>
    <row r="427" spans="1:7" x14ac:dyDescent="0.25">
      <c r="A427" t="s">
        <v>262</v>
      </c>
      <c r="B427" s="556">
        <v>3</v>
      </c>
      <c r="C427" t="s">
        <v>1503</v>
      </c>
      <c r="D427" t="s">
        <v>1597</v>
      </c>
      <c r="E427" s="556">
        <f ca="1">VLOOKUP(A427,Data!C:I,7,FALSE)</f>
        <v>0</v>
      </c>
      <c r="F427" s="636" t="str">
        <f t="shared" si="36"/>
        <v>RS.IM-13</v>
      </c>
      <c r="G427" s="636" t="str">
        <f t="shared" ca="1" si="37"/>
        <v>RS.IM-130</v>
      </c>
    </row>
    <row r="428" spans="1:7" x14ac:dyDescent="0.25">
      <c r="A428" t="s">
        <v>262</v>
      </c>
      <c r="B428" s="556">
        <v>3</v>
      </c>
      <c r="C428" t="s">
        <v>1503</v>
      </c>
      <c r="D428" t="s">
        <v>1598</v>
      </c>
      <c r="E428" s="556">
        <f ca="1">VLOOKUP(A428,Data!C:I,7,FALSE)</f>
        <v>0</v>
      </c>
      <c r="F428" s="636" t="str">
        <f t="shared" si="36"/>
        <v>RS.IM-23</v>
      </c>
      <c r="G428" s="636" t="str">
        <f t="shared" ca="1" si="37"/>
        <v>RS.IM-230</v>
      </c>
    </row>
    <row r="429" spans="1:7" x14ac:dyDescent="0.25">
      <c r="A429" t="s">
        <v>263</v>
      </c>
      <c r="B429" s="556">
        <v>3</v>
      </c>
      <c r="C429" t="s">
        <v>1501</v>
      </c>
      <c r="D429" t="s">
        <v>1569</v>
      </c>
      <c r="E429" s="556">
        <f ca="1">VLOOKUP(A429,Data!C:I,7,FALSE)</f>
        <v>0</v>
      </c>
      <c r="F429" s="636" t="str">
        <f t="shared" si="36"/>
        <v>PR.IP-93</v>
      </c>
      <c r="G429" s="636" t="str">
        <f t="shared" ca="1" si="37"/>
        <v>PR.IP-930</v>
      </c>
    </row>
    <row r="430" spans="1:7" x14ac:dyDescent="0.25">
      <c r="A430" t="s">
        <v>263</v>
      </c>
      <c r="B430" s="556">
        <v>3</v>
      </c>
      <c r="C430" t="s">
        <v>1504</v>
      </c>
      <c r="D430" t="s">
        <v>1589</v>
      </c>
      <c r="E430" s="556">
        <f ca="1">VLOOKUP(A430,Data!C:I,7,FALSE)</f>
        <v>0</v>
      </c>
      <c r="F430" s="636" t="str">
        <f t="shared" si="36"/>
        <v>RC.CO-33</v>
      </c>
      <c r="G430" s="636" t="str">
        <f t="shared" ca="1" si="37"/>
        <v>RC.CO-330</v>
      </c>
    </row>
    <row r="431" spans="1:7" x14ac:dyDescent="0.25">
      <c r="A431" t="s">
        <v>263</v>
      </c>
      <c r="B431" s="556">
        <v>3</v>
      </c>
      <c r="C431" t="s">
        <v>1504</v>
      </c>
      <c r="D431" t="s">
        <v>1590</v>
      </c>
      <c r="E431" s="556">
        <f ca="1">VLOOKUP(A431,Data!C:I,7,FALSE)</f>
        <v>0</v>
      </c>
      <c r="F431" s="636" t="str">
        <f t="shared" si="36"/>
        <v>RC.RP-13</v>
      </c>
      <c r="G431" s="636" t="str">
        <f t="shared" ca="1" si="37"/>
        <v>RC.RP-130</v>
      </c>
    </row>
    <row r="432" spans="1:7" x14ac:dyDescent="0.25">
      <c r="A432" t="s">
        <v>263</v>
      </c>
      <c r="B432" s="556">
        <v>3</v>
      </c>
      <c r="C432" t="s">
        <v>1503</v>
      </c>
      <c r="D432" t="s">
        <v>1599</v>
      </c>
      <c r="E432" s="556">
        <f ca="1">VLOOKUP(A432,Data!C:I,7,FALSE)</f>
        <v>0</v>
      </c>
      <c r="F432" s="636" t="str">
        <f t="shared" si="36"/>
        <v>RS.AN-33</v>
      </c>
      <c r="G432" s="636" t="str">
        <f t="shared" ca="1" si="37"/>
        <v>RS.AN-330</v>
      </c>
    </row>
    <row r="433" spans="1:7" x14ac:dyDescent="0.25">
      <c r="A433" t="s">
        <v>263</v>
      </c>
      <c r="B433" s="556">
        <v>3</v>
      </c>
      <c r="C433" t="s">
        <v>1503</v>
      </c>
      <c r="D433" t="s">
        <v>1575</v>
      </c>
      <c r="E433" s="556">
        <f ca="1">VLOOKUP(A433,Data!C:I,7,FALSE)</f>
        <v>0</v>
      </c>
      <c r="F433" s="636" t="str">
        <f t="shared" si="36"/>
        <v>RS.CO-33</v>
      </c>
      <c r="G433" s="636" t="str">
        <f t="shared" ca="1" si="37"/>
        <v>RS.CO-330</v>
      </c>
    </row>
    <row r="434" spans="1:7" x14ac:dyDescent="0.25">
      <c r="A434" t="s">
        <v>263</v>
      </c>
      <c r="B434" s="556">
        <v>3</v>
      </c>
      <c r="C434" t="s">
        <v>1503</v>
      </c>
      <c r="D434" t="s">
        <v>1570</v>
      </c>
      <c r="E434" s="556">
        <f ca="1">VLOOKUP(A434,Data!C:I,7,FALSE)</f>
        <v>0</v>
      </c>
      <c r="F434" s="636" t="str">
        <f t="shared" si="36"/>
        <v>RS.RP-13</v>
      </c>
      <c r="G434" s="636" t="str">
        <f t="shared" ca="1" si="37"/>
        <v>RS.RP-130</v>
      </c>
    </row>
    <row r="435" spans="1:7" x14ac:dyDescent="0.25">
      <c r="A435" t="s">
        <v>265</v>
      </c>
      <c r="B435" s="556">
        <v>3</v>
      </c>
      <c r="C435" t="s">
        <v>1502</v>
      </c>
      <c r="D435" t="s">
        <v>1588</v>
      </c>
      <c r="E435" s="556">
        <f ca="1">VLOOKUP(A435,Data!C:I,7,FALSE)</f>
        <v>0</v>
      </c>
      <c r="F435" s="636" t="str">
        <f t="shared" si="36"/>
        <v>DE.DP-33</v>
      </c>
      <c r="G435" s="636" t="str">
        <f t="shared" ca="1" si="37"/>
        <v>DE.DP-330</v>
      </c>
    </row>
    <row r="436" spans="1:7" x14ac:dyDescent="0.25">
      <c r="A436" t="s">
        <v>265</v>
      </c>
      <c r="B436" s="556">
        <v>3</v>
      </c>
      <c r="C436" t="s">
        <v>446</v>
      </c>
      <c r="D436" t="s">
        <v>1572</v>
      </c>
      <c r="E436" s="556">
        <f ca="1">VLOOKUP(A436,Data!C:I,7,FALSE)</f>
        <v>0</v>
      </c>
      <c r="F436" s="636" t="str">
        <f t="shared" si="36"/>
        <v>ID.SC-53</v>
      </c>
      <c r="G436" s="636" t="str">
        <f t="shared" ca="1" si="37"/>
        <v>ID.SC-530</v>
      </c>
    </row>
    <row r="437" spans="1:7" x14ac:dyDescent="0.25">
      <c r="A437" t="s">
        <v>265</v>
      </c>
      <c r="B437" s="556">
        <v>3</v>
      </c>
      <c r="C437" t="s">
        <v>1501</v>
      </c>
      <c r="D437" t="s">
        <v>1569</v>
      </c>
      <c r="E437" s="556">
        <f ca="1">VLOOKUP(A437,Data!C:I,7,FALSE)</f>
        <v>0</v>
      </c>
      <c r="F437" s="636" t="str">
        <f t="shared" si="36"/>
        <v>PR.IP-93</v>
      </c>
      <c r="G437" s="636" t="str">
        <f t="shared" ca="1" si="37"/>
        <v>PR.IP-930</v>
      </c>
    </row>
    <row r="438" spans="1:7" x14ac:dyDescent="0.25">
      <c r="A438" t="s">
        <v>974</v>
      </c>
      <c r="B438" s="556">
        <v>3</v>
      </c>
      <c r="C438" t="s">
        <v>1501</v>
      </c>
      <c r="D438" t="s">
        <v>1569</v>
      </c>
      <c r="E438" s="556">
        <f ca="1">VLOOKUP(A438,Data!C:I,7,FALSE)</f>
        <v>0</v>
      </c>
      <c r="F438" s="636" t="str">
        <f t="shared" si="36"/>
        <v>PR.IP-93</v>
      </c>
      <c r="G438" s="636" t="str">
        <f t="shared" ca="1" si="37"/>
        <v>PR.IP-930</v>
      </c>
    </row>
    <row r="439" spans="1:7" x14ac:dyDescent="0.25">
      <c r="A439" t="s">
        <v>974</v>
      </c>
      <c r="B439" s="556">
        <v>3</v>
      </c>
      <c r="C439" t="s">
        <v>1504</v>
      </c>
      <c r="D439" t="s">
        <v>1590</v>
      </c>
      <c r="E439" s="556">
        <f ca="1">VLOOKUP(A439,Data!C:I,7,FALSE)</f>
        <v>0</v>
      </c>
      <c r="F439" s="636" t="str">
        <f t="shared" si="36"/>
        <v>RC.RP-13</v>
      </c>
      <c r="G439" s="636" t="str">
        <f t="shared" ca="1" si="37"/>
        <v>RC.RP-130</v>
      </c>
    </row>
    <row r="440" spans="1:7" x14ac:dyDescent="0.25">
      <c r="A440" t="s">
        <v>974</v>
      </c>
      <c r="B440" s="556">
        <v>3</v>
      </c>
      <c r="C440" t="s">
        <v>1503</v>
      </c>
      <c r="D440" t="s">
        <v>1585</v>
      </c>
      <c r="E440" s="556">
        <f ca="1">VLOOKUP(A440,Data!C:I,7,FALSE)</f>
        <v>0</v>
      </c>
      <c r="F440" s="636" t="str">
        <f t="shared" si="36"/>
        <v>RS.AN-43</v>
      </c>
      <c r="G440" s="636" t="str">
        <f t="shared" ca="1" si="37"/>
        <v>RS.AN-430</v>
      </c>
    </row>
    <row r="441" spans="1:7" x14ac:dyDescent="0.25">
      <c r="A441" t="s">
        <v>974</v>
      </c>
      <c r="B441" s="556">
        <v>3</v>
      </c>
      <c r="C441" t="s">
        <v>1503</v>
      </c>
      <c r="D441" t="s">
        <v>1570</v>
      </c>
      <c r="E441" s="556">
        <f ca="1">VLOOKUP(A441,Data!C:I,7,FALSE)</f>
        <v>0</v>
      </c>
      <c r="F441" s="636" t="str">
        <f t="shared" si="36"/>
        <v>RS.RP-13</v>
      </c>
      <c r="G441" s="636" t="str">
        <f t="shared" ca="1" si="37"/>
        <v>RS.RP-130</v>
      </c>
    </row>
    <row r="442" spans="1:7" x14ac:dyDescent="0.25">
      <c r="A442" t="s">
        <v>267</v>
      </c>
      <c r="B442" s="556">
        <v>1</v>
      </c>
      <c r="C442" t="s">
        <v>446</v>
      </c>
      <c r="D442" t="s">
        <v>1568</v>
      </c>
      <c r="E442" s="556">
        <f ca="1">VLOOKUP(A442,Data!C:I,7,FALSE)</f>
        <v>0</v>
      </c>
      <c r="F442" s="636" t="str">
        <f t="shared" si="36"/>
        <v>ID.BE-51</v>
      </c>
      <c r="G442" s="636" t="str">
        <f t="shared" ca="1" si="37"/>
        <v>ID.BE-510</v>
      </c>
    </row>
    <row r="443" spans="1:7" x14ac:dyDescent="0.25">
      <c r="A443" t="s">
        <v>267</v>
      </c>
      <c r="B443" s="556">
        <v>1</v>
      </c>
      <c r="C443" t="s">
        <v>1501</v>
      </c>
      <c r="D443" t="s">
        <v>1569</v>
      </c>
      <c r="E443" s="556">
        <f ca="1">VLOOKUP(A443,Data!C:I,7,FALSE)</f>
        <v>0</v>
      </c>
      <c r="F443" s="636" t="str">
        <f t="shared" si="36"/>
        <v>PR.IP-91</v>
      </c>
      <c r="G443" s="636" t="str">
        <f t="shared" ca="1" si="37"/>
        <v>PR.IP-910</v>
      </c>
    </row>
    <row r="444" spans="1:7" x14ac:dyDescent="0.25">
      <c r="A444" t="s">
        <v>268</v>
      </c>
      <c r="B444" s="556">
        <v>1</v>
      </c>
      <c r="C444" t="s">
        <v>1501</v>
      </c>
      <c r="D444" t="s">
        <v>1600</v>
      </c>
      <c r="E444" s="556">
        <f ca="1">VLOOKUP(A444,Data!C:I,7,FALSE)</f>
        <v>0</v>
      </c>
      <c r="F444" s="636" t="str">
        <f t="shared" si="36"/>
        <v>PR.IP-41</v>
      </c>
      <c r="G444" s="636" t="str">
        <f t="shared" ca="1" si="37"/>
        <v>PR.IP-410</v>
      </c>
    </row>
    <row r="445" spans="1:7" x14ac:dyDescent="0.25">
      <c r="A445" t="s">
        <v>269</v>
      </c>
      <c r="B445" s="556">
        <v>1</v>
      </c>
      <c r="C445" t="s">
        <v>446</v>
      </c>
      <c r="D445" t="s">
        <v>1568</v>
      </c>
      <c r="E445" s="556">
        <f ca="1">VLOOKUP(A445,Data!C:I,7,FALSE)</f>
        <v>0</v>
      </c>
      <c r="F445" s="636" t="str">
        <f t="shared" si="36"/>
        <v>ID.BE-51</v>
      </c>
      <c r="G445" s="636" t="str">
        <f t="shared" ca="1" si="37"/>
        <v>ID.BE-510</v>
      </c>
    </row>
    <row r="446" spans="1:7" x14ac:dyDescent="0.25">
      <c r="A446" t="s">
        <v>269</v>
      </c>
      <c r="B446" s="556">
        <v>1</v>
      </c>
      <c r="C446" t="s">
        <v>1501</v>
      </c>
      <c r="D446" t="s">
        <v>1534</v>
      </c>
      <c r="E446" s="556">
        <f ca="1">VLOOKUP(A446,Data!C:I,7,FALSE)</f>
        <v>0</v>
      </c>
      <c r="F446" s="636" t="str">
        <f t="shared" si="36"/>
        <v>PR.DS-41</v>
      </c>
      <c r="G446" s="636" t="str">
        <f t="shared" ca="1" si="37"/>
        <v>PR.DS-410</v>
      </c>
    </row>
    <row r="447" spans="1:7" x14ac:dyDescent="0.25">
      <c r="A447" t="s">
        <v>270</v>
      </c>
      <c r="B447" s="556">
        <v>2</v>
      </c>
      <c r="C447" t="s">
        <v>1501</v>
      </c>
      <c r="D447" t="s">
        <v>1569</v>
      </c>
      <c r="E447" s="556">
        <f ca="1">VLOOKUP(A447,Data!C:I,7,FALSE)</f>
        <v>0</v>
      </c>
      <c r="F447" s="636" t="str">
        <f t="shared" si="36"/>
        <v>PR.IP-92</v>
      </c>
      <c r="G447" s="636" t="str">
        <f t="shared" ca="1" si="37"/>
        <v>PR.IP-920</v>
      </c>
    </row>
    <row r="448" spans="1:7" x14ac:dyDescent="0.25">
      <c r="A448" t="s">
        <v>271</v>
      </c>
      <c r="B448" s="556">
        <v>2</v>
      </c>
      <c r="C448" t="s">
        <v>446</v>
      </c>
      <c r="D448" t="s">
        <v>1568</v>
      </c>
      <c r="E448" s="556">
        <f ca="1">VLOOKUP(A448,Data!C:I,7,FALSE)</f>
        <v>0</v>
      </c>
      <c r="F448" s="636" t="str">
        <f t="shared" si="36"/>
        <v>ID.BE-52</v>
      </c>
      <c r="G448" s="636" t="str">
        <f t="shared" ca="1" si="37"/>
        <v>ID.BE-520</v>
      </c>
    </row>
    <row r="449" spans="1:7" x14ac:dyDescent="0.25">
      <c r="A449" t="s">
        <v>271</v>
      </c>
      <c r="B449" s="556">
        <v>2</v>
      </c>
      <c r="C449" t="s">
        <v>1501</v>
      </c>
      <c r="D449" t="s">
        <v>1600</v>
      </c>
      <c r="E449" s="556">
        <f ca="1">VLOOKUP(A449,Data!C:I,7,FALSE)</f>
        <v>0</v>
      </c>
      <c r="F449" s="636" t="str">
        <f t="shared" si="36"/>
        <v>PR.IP-42</v>
      </c>
      <c r="G449" s="636" t="str">
        <f t="shared" ca="1" si="37"/>
        <v>PR.IP-420</v>
      </c>
    </row>
    <row r="450" spans="1:7" x14ac:dyDescent="0.25">
      <c r="A450" t="s">
        <v>271</v>
      </c>
      <c r="B450" s="556">
        <v>2</v>
      </c>
      <c r="C450" t="s">
        <v>1501</v>
      </c>
      <c r="D450" t="s">
        <v>1569</v>
      </c>
      <c r="E450" s="556">
        <f ca="1">VLOOKUP(A450,Data!C:I,7,FALSE)</f>
        <v>0</v>
      </c>
      <c r="F450" s="636" t="str">
        <f t="shared" si="36"/>
        <v>PR.IP-92</v>
      </c>
      <c r="G450" s="636" t="str">
        <f t="shared" ca="1" si="37"/>
        <v>PR.IP-920</v>
      </c>
    </row>
    <row r="451" spans="1:7" x14ac:dyDescent="0.25">
      <c r="A451" t="s">
        <v>272</v>
      </c>
      <c r="B451" s="556">
        <v>2</v>
      </c>
      <c r="C451" t="s">
        <v>446</v>
      </c>
      <c r="D451" t="s">
        <v>1568</v>
      </c>
      <c r="E451" s="556">
        <f ca="1">VLOOKUP(A451,Data!C:I,7,FALSE)</f>
        <v>0</v>
      </c>
      <c r="F451" s="636" t="str">
        <f t="shared" ref="F451:F514" si="38">CONCATENATE($D451,$B451)</f>
        <v>ID.BE-52</v>
      </c>
      <c r="G451" s="636" t="str">
        <f t="shared" ref="G451:G514" ca="1" si="39">_xlfn.IFNA(CONCATENATE(F451,$E451),CONCATENATE(F451,$E451,0))</f>
        <v>ID.BE-520</v>
      </c>
    </row>
    <row r="452" spans="1:7" x14ac:dyDescent="0.25">
      <c r="A452" t="s">
        <v>272</v>
      </c>
      <c r="B452" s="556">
        <v>2</v>
      </c>
      <c r="C452" t="s">
        <v>1501</v>
      </c>
      <c r="D452" t="s">
        <v>1600</v>
      </c>
      <c r="E452" s="556">
        <f ca="1">VLOOKUP(A452,Data!C:I,7,FALSE)</f>
        <v>0</v>
      </c>
      <c r="F452" s="636" t="str">
        <f t="shared" si="38"/>
        <v>PR.IP-42</v>
      </c>
      <c r="G452" s="636" t="str">
        <f t="shared" ca="1" si="39"/>
        <v>PR.IP-420</v>
      </c>
    </row>
    <row r="453" spans="1:7" x14ac:dyDescent="0.25">
      <c r="A453" t="s">
        <v>272</v>
      </c>
      <c r="B453" s="556">
        <v>2</v>
      </c>
      <c r="C453" t="s">
        <v>1501</v>
      </c>
      <c r="D453" t="s">
        <v>1569</v>
      </c>
      <c r="E453" s="556">
        <f ca="1">VLOOKUP(A453,Data!C:I,7,FALSE)</f>
        <v>0</v>
      </c>
      <c r="F453" s="636" t="str">
        <f t="shared" si="38"/>
        <v>PR.IP-92</v>
      </c>
      <c r="G453" s="636" t="str">
        <f t="shared" ca="1" si="39"/>
        <v>PR.IP-920</v>
      </c>
    </row>
    <row r="454" spans="1:7" x14ac:dyDescent="0.25">
      <c r="A454" t="s">
        <v>273</v>
      </c>
      <c r="B454" s="556">
        <v>2</v>
      </c>
      <c r="C454" t="s">
        <v>446</v>
      </c>
      <c r="D454" t="s">
        <v>1572</v>
      </c>
      <c r="E454" s="556">
        <f ca="1">VLOOKUP(A454,Data!C:I,7,FALSE)</f>
        <v>0</v>
      </c>
      <c r="F454" s="636" t="str">
        <f t="shared" si="38"/>
        <v>ID.SC-52</v>
      </c>
      <c r="G454" s="636" t="str">
        <f t="shared" ca="1" si="39"/>
        <v>ID.SC-520</v>
      </c>
    </row>
    <row r="455" spans="1:7" x14ac:dyDescent="0.25">
      <c r="A455" t="s">
        <v>273</v>
      </c>
      <c r="B455" s="556">
        <v>2</v>
      </c>
      <c r="C455" t="s">
        <v>1501</v>
      </c>
      <c r="D455" t="s">
        <v>1594</v>
      </c>
      <c r="E455" s="556">
        <f ca="1">VLOOKUP(A455,Data!C:I,7,FALSE)</f>
        <v>0</v>
      </c>
      <c r="F455" s="636" t="str">
        <f t="shared" si="38"/>
        <v>PR.IP-102</v>
      </c>
      <c r="G455" s="636" t="str">
        <f t="shared" ca="1" si="39"/>
        <v>PR.IP-1020</v>
      </c>
    </row>
    <row r="456" spans="1:7" x14ac:dyDescent="0.25">
      <c r="A456" t="s">
        <v>273</v>
      </c>
      <c r="B456" s="556">
        <v>2</v>
      </c>
      <c r="C456" t="s">
        <v>1501</v>
      </c>
      <c r="D456" t="s">
        <v>1569</v>
      </c>
      <c r="E456" s="556">
        <f ca="1">VLOOKUP(A456,Data!C:I,7,FALSE)</f>
        <v>0</v>
      </c>
      <c r="F456" s="636" t="str">
        <f t="shared" si="38"/>
        <v>PR.IP-92</v>
      </c>
      <c r="G456" s="636" t="str">
        <f t="shared" ca="1" si="39"/>
        <v>PR.IP-920</v>
      </c>
    </row>
    <row r="457" spans="1:7" x14ac:dyDescent="0.25">
      <c r="A457" t="s">
        <v>975</v>
      </c>
      <c r="B457" s="556">
        <v>2</v>
      </c>
      <c r="C457" t="s">
        <v>1501</v>
      </c>
      <c r="D457" t="s">
        <v>1600</v>
      </c>
      <c r="E457" s="556">
        <f ca="1">VLOOKUP(A457,Data!C:I,7,FALSE)</f>
        <v>0</v>
      </c>
      <c r="F457" s="636" t="str">
        <f t="shared" si="38"/>
        <v>PR.IP-42</v>
      </c>
      <c r="G457" s="636" t="str">
        <f t="shared" ca="1" si="39"/>
        <v>PR.IP-420</v>
      </c>
    </row>
    <row r="458" spans="1:7" x14ac:dyDescent="0.25">
      <c r="A458" t="s">
        <v>976</v>
      </c>
      <c r="B458" s="556">
        <v>2</v>
      </c>
      <c r="C458" t="s">
        <v>1501</v>
      </c>
      <c r="D458" t="s">
        <v>1600</v>
      </c>
      <c r="E458" s="556">
        <f ca="1">VLOOKUP(A458,Data!C:I,7,FALSE)</f>
        <v>0</v>
      </c>
      <c r="F458" s="636" t="str">
        <f t="shared" si="38"/>
        <v>PR.IP-42</v>
      </c>
      <c r="G458" s="636" t="str">
        <f t="shared" ca="1" si="39"/>
        <v>PR.IP-420</v>
      </c>
    </row>
    <row r="459" spans="1:7" x14ac:dyDescent="0.25">
      <c r="A459" t="s">
        <v>977</v>
      </c>
      <c r="B459" s="556">
        <v>2</v>
      </c>
      <c r="C459" t="s">
        <v>446</v>
      </c>
      <c r="D459" t="s">
        <v>1568</v>
      </c>
      <c r="E459" s="556">
        <f ca="1">VLOOKUP(A459,Data!C:I,7,FALSE)</f>
        <v>0</v>
      </c>
      <c r="F459" s="636" t="str">
        <f t="shared" si="38"/>
        <v>ID.BE-52</v>
      </c>
      <c r="G459" s="636" t="str">
        <f t="shared" ca="1" si="39"/>
        <v>ID.BE-520</v>
      </c>
    </row>
    <row r="460" spans="1:7" x14ac:dyDescent="0.25">
      <c r="A460" t="s">
        <v>977</v>
      </c>
      <c r="B460" s="556">
        <v>2</v>
      </c>
      <c r="C460" t="s">
        <v>1501</v>
      </c>
      <c r="D460" t="s">
        <v>1534</v>
      </c>
      <c r="E460" s="556">
        <f ca="1">VLOOKUP(A460,Data!C:I,7,FALSE)</f>
        <v>0</v>
      </c>
      <c r="F460" s="636" t="str">
        <f t="shared" si="38"/>
        <v>PR.DS-42</v>
      </c>
      <c r="G460" s="636" t="str">
        <f t="shared" ca="1" si="39"/>
        <v>PR.DS-420</v>
      </c>
    </row>
    <row r="461" spans="1:7" x14ac:dyDescent="0.25">
      <c r="A461" t="s">
        <v>977</v>
      </c>
      <c r="B461" s="556">
        <v>2</v>
      </c>
      <c r="C461" t="s">
        <v>1501</v>
      </c>
      <c r="D461" t="s">
        <v>1536</v>
      </c>
      <c r="E461" s="556">
        <f ca="1">VLOOKUP(A461,Data!C:I,7,FALSE)</f>
        <v>0</v>
      </c>
      <c r="F461" s="636" t="str">
        <f t="shared" si="38"/>
        <v>PR.PT-52</v>
      </c>
      <c r="G461" s="636" t="str">
        <f t="shared" ca="1" si="39"/>
        <v>PR.PT-520</v>
      </c>
    </row>
    <row r="462" spans="1:7" x14ac:dyDescent="0.25">
      <c r="A462" t="s">
        <v>978</v>
      </c>
      <c r="B462" s="556">
        <v>2</v>
      </c>
      <c r="C462" t="s">
        <v>446</v>
      </c>
      <c r="D462" t="s">
        <v>1568</v>
      </c>
      <c r="E462" s="556">
        <f ca="1">VLOOKUP(A462,Data!C:I,7,FALSE)</f>
        <v>0</v>
      </c>
      <c r="F462" s="636" t="str">
        <f t="shared" si="38"/>
        <v>ID.BE-52</v>
      </c>
      <c r="G462" s="636" t="str">
        <f t="shared" ca="1" si="39"/>
        <v>ID.BE-520</v>
      </c>
    </row>
    <row r="463" spans="1:7" x14ac:dyDescent="0.25">
      <c r="A463" t="s">
        <v>978</v>
      </c>
      <c r="B463" s="556">
        <v>2</v>
      </c>
      <c r="C463" t="s">
        <v>1501</v>
      </c>
      <c r="D463" t="s">
        <v>1569</v>
      </c>
      <c r="E463" s="556">
        <f ca="1">VLOOKUP(A463,Data!C:I,7,FALSE)</f>
        <v>0</v>
      </c>
      <c r="F463" s="636" t="str">
        <f t="shared" si="38"/>
        <v>PR.IP-92</v>
      </c>
      <c r="G463" s="636" t="str">
        <f t="shared" ca="1" si="39"/>
        <v>PR.IP-920</v>
      </c>
    </row>
    <row r="464" spans="1:7" x14ac:dyDescent="0.25">
      <c r="A464" t="s">
        <v>979</v>
      </c>
      <c r="B464" s="556">
        <v>2</v>
      </c>
      <c r="C464" t="s">
        <v>1501</v>
      </c>
      <c r="D464" t="s">
        <v>1569</v>
      </c>
      <c r="E464" s="556">
        <f ca="1">VLOOKUP(A464,Data!C:I,7,FALSE)</f>
        <v>0</v>
      </c>
      <c r="F464" s="636" t="str">
        <f t="shared" si="38"/>
        <v>PR.IP-92</v>
      </c>
      <c r="G464" s="636" t="str">
        <f t="shared" ca="1" si="39"/>
        <v>PR.IP-920</v>
      </c>
    </row>
    <row r="465" spans="1:7" x14ac:dyDescent="0.25">
      <c r="A465" t="s">
        <v>979</v>
      </c>
      <c r="B465" s="556">
        <v>2</v>
      </c>
      <c r="C465" t="s">
        <v>1504</v>
      </c>
      <c r="D465" t="s">
        <v>1589</v>
      </c>
      <c r="E465" s="556">
        <f ca="1">VLOOKUP(A465,Data!C:I,7,FALSE)</f>
        <v>0</v>
      </c>
      <c r="F465" s="636" t="str">
        <f t="shared" si="38"/>
        <v>RC.CO-32</v>
      </c>
      <c r="G465" s="636" t="str">
        <f t="shared" ca="1" si="39"/>
        <v>RC.CO-320</v>
      </c>
    </row>
    <row r="466" spans="1:7" x14ac:dyDescent="0.25">
      <c r="A466" t="s">
        <v>979</v>
      </c>
      <c r="B466" s="556">
        <v>2</v>
      </c>
      <c r="C466" t="s">
        <v>1504</v>
      </c>
      <c r="D466" t="s">
        <v>1590</v>
      </c>
      <c r="E466" s="556">
        <f ca="1">VLOOKUP(A466,Data!C:I,7,FALSE)</f>
        <v>0</v>
      </c>
      <c r="F466" s="636" t="str">
        <f t="shared" si="38"/>
        <v>RC.RP-12</v>
      </c>
      <c r="G466" s="636" t="str">
        <f t="shared" ca="1" si="39"/>
        <v>RC.RP-120</v>
      </c>
    </row>
    <row r="467" spans="1:7" x14ac:dyDescent="0.25">
      <c r="A467" t="s">
        <v>980</v>
      </c>
      <c r="B467" s="556">
        <v>3</v>
      </c>
      <c r="C467" t="s">
        <v>446</v>
      </c>
      <c r="D467" t="s">
        <v>1568</v>
      </c>
      <c r="E467" s="556">
        <f ca="1">VLOOKUP(A467,Data!C:I,7,FALSE)</f>
        <v>0</v>
      </c>
      <c r="F467" s="636" t="str">
        <f t="shared" si="38"/>
        <v>ID.BE-53</v>
      </c>
      <c r="G467" s="636" t="str">
        <f t="shared" ca="1" si="39"/>
        <v>ID.BE-530</v>
      </c>
    </row>
    <row r="468" spans="1:7" x14ac:dyDescent="0.25">
      <c r="A468" t="s">
        <v>980</v>
      </c>
      <c r="B468" s="556">
        <v>3</v>
      </c>
      <c r="C468" t="s">
        <v>1501</v>
      </c>
      <c r="D468" t="s">
        <v>1569</v>
      </c>
      <c r="E468" s="556">
        <f ca="1">VLOOKUP(A468,Data!C:I,7,FALSE)</f>
        <v>0</v>
      </c>
      <c r="F468" s="636" t="str">
        <f t="shared" si="38"/>
        <v>PR.IP-93</v>
      </c>
      <c r="G468" s="636" t="str">
        <f t="shared" ca="1" si="39"/>
        <v>PR.IP-930</v>
      </c>
    </row>
    <row r="469" spans="1:7" x14ac:dyDescent="0.25">
      <c r="A469" t="s">
        <v>981</v>
      </c>
      <c r="B469" s="556">
        <v>3</v>
      </c>
      <c r="C469" t="s">
        <v>1501</v>
      </c>
      <c r="D469" t="s">
        <v>1594</v>
      </c>
      <c r="E469" s="556">
        <f ca="1">VLOOKUP(A469,Data!C:I,7,FALSE)</f>
        <v>0</v>
      </c>
      <c r="F469" s="636" t="str">
        <f t="shared" si="38"/>
        <v>PR.IP-103</v>
      </c>
      <c r="G469" s="636" t="str">
        <f t="shared" ca="1" si="39"/>
        <v>PR.IP-1030</v>
      </c>
    </row>
    <row r="470" spans="1:7" x14ac:dyDescent="0.25">
      <c r="A470" t="s">
        <v>981</v>
      </c>
      <c r="B470" s="556">
        <v>3</v>
      </c>
      <c r="C470" t="s">
        <v>1501</v>
      </c>
      <c r="D470" t="s">
        <v>1569</v>
      </c>
      <c r="E470" s="556">
        <f ca="1">VLOOKUP(A470,Data!C:I,7,FALSE)</f>
        <v>0</v>
      </c>
      <c r="F470" s="636" t="str">
        <f t="shared" si="38"/>
        <v>PR.IP-93</v>
      </c>
      <c r="G470" s="636" t="str">
        <f t="shared" ca="1" si="39"/>
        <v>PR.IP-930</v>
      </c>
    </row>
    <row r="471" spans="1:7" x14ac:dyDescent="0.25">
      <c r="A471" t="s">
        <v>982</v>
      </c>
      <c r="B471" s="556">
        <v>3</v>
      </c>
      <c r="C471" t="s">
        <v>1501</v>
      </c>
      <c r="D471" t="s">
        <v>1594</v>
      </c>
      <c r="E471" s="556">
        <f ca="1">VLOOKUP(A471,Data!C:I,7,FALSE)</f>
        <v>0</v>
      </c>
      <c r="F471" s="636" t="str">
        <f t="shared" si="38"/>
        <v>PR.IP-103</v>
      </c>
      <c r="G471" s="636" t="str">
        <f t="shared" ca="1" si="39"/>
        <v>PR.IP-1030</v>
      </c>
    </row>
    <row r="472" spans="1:7" x14ac:dyDescent="0.25">
      <c r="A472" t="s">
        <v>982</v>
      </c>
      <c r="B472" s="556">
        <v>3</v>
      </c>
      <c r="C472" t="s">
        <v>1501</v>
      </c>
      <c r="D472" t="s">
        <v>1569</v>
      </c>
      <c r="E472" s="556">
        <f ca="1">VLOOKUP(A472,Data!C:I,7,FALSE)</f>
        <v>0</v>
      </c>
      <c r="F472" s="636" t="str">
        <f t="shared" si="38"/>
        <v>PR.IP-93</v>
      </c>
      <c r="G472" s="636" t="str">
        <f t="shared" ca="1" si="39"/>
        <v>PR.IP-930</v>
      </c>
    </row>
    <row r="473" spans="1:7" x14ac:dyDescent="0.25">
      <c r="A473" t="s">
        <v>982</v>
      </c>
      <c r="B473" s="556">
        <v>3</v>
      </c>
      <c r="C473" t="s">
        <v>1504</v>
      </c>
      <c r="D473" t="s">
        <v>1595</v>
      </c>
      <c r="E473" s="556">
        <f ca="1">VLOOKUP(A473,Data!C:I,7,FALSE)</f>
        <v>0</v>
      </c>
      <c r="F473" s="636" t="str">
        <f t="shared" si="38"/>
        <v>RC.IM-13</v>
      </c>
      <c r="G473" s="636" t="str">
        <f t="shared" ca="1" si="39"/>
        <v>RC.IM-130</v>
      </c>
    </row>
    <row r="474" spans="1:7" x14ac:dyDescent="0.25">
      <c r="A474" t="s">
        <v>982</v>
      </c>
      <c r="B474" s="556">
        <v>3</v>
      </c>
      <c r="C474" t="s">
        <v>1504</v>
      </c>
      <c r="D474" t="s">
        <v>1596</v>
      </c>
      <c r="E474" s="556">
        <f ca="1">VLOOKUP(A474,Data!C:I,7,FALSE)</f>
        <v>0</v>
      </c>
      <c r="F474" s="636" t="str">
        <f t="shared" si="38"/>
        <v>RC.IM-23</v>
      </c>
      <c r="G474" s="636" t="str">
        <f t="shared" ca="1" si="39"/>
        <v>RC.IM-230</v>
      </c>
    </row>
    <row r="475" spans="1:7" x14ac:dyDescent="0.25">
      <c r="A475" t="s">
        <v>982</v>
      </c>
      <c r="B475" s="556">
        <v>3</v>
      </c>
      <c r="C475" t="s">
        <v>1504</v>
      </c>
      <c r="D475" t="s">
        <v>1590</v>
      </c>
      <c r="E475" s="556">
        <f ca="1">VLOOKUP(A475,Data!C:I,7,FALSE)</f>
        <v>0</v>
      </c>
      <c r="F475" s="636" t="str">
        <f t="shared" si="38"/>
        <v>RC.RP-13</v>
      </c>
      <c r="G475" s="636" t="str">
        <f t="shared" ca="1" si="39"/>
        <v>RC.RP-130</v>
      </c>
    </row>
    <row r="476" spans="1:7" x14ac:dyDescent="0.25">
      <c r="A476" t="s">
        <v>983</v>
      </c>
      <c r="B476" s="556">
        <v>3</v>
      </c>
      <c r="C476" t="s">
        <v>1501</v>
      </c>
      <c r="D476" t="s">
        <v>1594</v>
      </c>
      <c r="E476" s="556">
        <f ca="1">VLOOKUP(A476,Data!C:I,7,FALSE)</f>
        <v>0</v>
      </c>
      <c r="F476" s="636" t="str">
        <f t="shared" si="38"/>
        <v>PR.IP-103</v>
      </c>
      <c r="G476" s="636" t="str">
        <f t="shared" ca="1" si="39"/>
        <v>PR.IP-1030</v>
      </c>
    </row>
    <row r="477" spans="1:7" x14ac:dyDescent="0.25">
      <c r="A477" t="s">
        <v>983</v>
      </c>
      <c r="B477" s="556">
        <v>3</v>
      </c>
      <c r="C477" t="s">
        <v>1501</v>
      </c>
      <c r="D477" t="s">
        <v>1569</v>
      </c>
      <c r="E477" s="556">
        <f ca="1">VLOOKUP(A477,Data!C:I,7,FALSE)</f>
        <v>0</v>
      </c>
      <c r="F477" s="636" t="str">
        <f t="shared" si="38"/>
        <v>PR.IP-93</v>
      </c>
      <c r="G477" s="636" t="str">
        <f t="shared" ca="1" si="39"/>
        <v>PR.IP-930</v>
      </c>
    </row>
    <row r="478" spans="1:7" x14ac:dyDescent="0.25">
      <c r="A478" t="s">
        <v>983</v>
      </c>
      <c r="B478" s="556">
        <v>3</v>
      </c>
      <c r="C478" t="s">
        <v>1504</v>
      </c>
      <c r="D478" t="s">
        <v>1595</v>
      </c>
      <c r="E478" s="556">
        <f ca="1">VLOOKUP(A478,Data!C:I,7,FALSE)</f>
        <v>0</v>
      </c>
      <c r="F478" s="636" t="str">
        <f t="shared" si="38"/>
        <v>RC.IM-13</v>
      </c>
      <c r="G478" s="636" t="str">
        <f t="shared" ca="1" si="39"/>
        <v>RC.IM-130</v>
      </c>
    </row>
    <row r="479" spans="1:7" x14ac:dyDescent="0.25">
      <c r="A479" t="s">
        <v>983</v>
      </c>
      <c r="B479" s="556">
        <v>3</v>
      </c>
      <c r="C479" t="s">
        <v>1504</v>
      </c>
      <c r="D479" t="s">
        <v>1596</v>
      </c>
      <c r="E479" s="556">
        <f ca="1">VLOOKUP(A479,Data!C:I,7,FALSE)</f>
        <v>0</v>
      </c>
      <c r="F479" s="636" t="str">
        <f t="shared" si="38"/>
        <v>RC.IM-23</v>
      </c>
      <c r="G479" s="636" t="str">
        <f t="shared" ca="1" si="39"/>
        <v>RC.IM-230</v>
      </c>
    </row>
    <row r="480" spans="1:7" x14ac:dyDescent="0.25">
      <c r="A480" t="s">
        <v>984</v>
      </c>
      <c r="B480" s="556">
        <v>3</v>
      </c>
      <c r="C480" t="s">
        <v>1501</v>
      </c>
      <c r="D480" t="s">
        <v>1594</v>
      </c>
      <c r="E480" s="556" t="e">
        <f>VLOOKUP(A480,Data!C:I,7,FALSE)</f>
        <v>#N/A</v>
      </c>
      <c r="F480" s="636" t="str">
        <f t="shared" si="38"/>
        <v>PR.IP-103</v>
      </c>
      <c r="G480" s="636" t="e">
        <f t="shared" si="39"/>
        <v>#N/A</v>
      </c>
    </row>
    <row r="481" spans="1:7" x14ac:dyDescent="0.25">
      <c r="A481" t="s">
        <v>984</v>
      </c>
      <c r="B481" s="556">
        <v>3</v>
      </c>
      <c r="C481" t="s">
        <v>1501</v>
      </c>
      <c r="D481" t="s">
        <v>1569</v>
      </c>
      <c r="E481" s="556" t="e">
        <f>VLOOKUP(A481,Data!C:I,7,FALSE)</f>
        <v>#N/A</v>
      </c>
      <c r="F481" s="636" t="str">
        <f t="shared" si="38"/>
        <v>PR.IP-93</v>
      </c>
      <c r="G481" s="636" t="e">
        <f t="shared" si="39"/>
        <v>#N/A</v>
      </c>
    </row>
    <row r="482" spans="1:7" x14ac:dyDescent="0.25">
      <c r="A482" t="s">
        <v>984</v>
      </c>
      <c r="B482" s="556">
        <v>3</v>
      </c>
      <c r="C482" t="s">
        <v>1504</v>
      </c>
      <c r="D482" t="s">
        <v>1596</v>
      </c>
      <c r="E482" s="556" t="e">
        <f>VLOOKUP(A482,Data!C:I,7,FALSE)</f>
        <v>#N/A</v>
      </c>
      <c r="F482" s="636" t="str">
        <f t="shared" si="38"/>
        <v>RC.IM-23</v>
      </c>
      <c r="G482" s="636" t="e">
        <f t="shared" si="39"/>
        <v>#N/A</v>
      </c>
    </row>
    <row r="483" spans="1:7" x14ac:dyDescent="0.25">
      <c r="A483" t="s">
        <v>985</v>
      </c>
      <c r="B483" s="556">
        <v>2</v>
      </c>
      <c r="C483" t="s">
        <v>1502</v>
      </c>
      <c r="D483" t="s">
        <v>1580</v>
      </c>
      <c r="E483" s="556">
        <f ca="1">VLOOKUP(A483,Data!C:I,7,FALSE)</f>
        <v>0</v>
      </c>
      <c r="F483" s="636" t="str">
        <f t="shared" si="38"/>
        <v>DE.DP-22</v>
      </c>
      <c r="G483" s="636" t="str">
        <f t="shared" ca="1" si="39"/>
        <v>DE.DP-220</v>
      </c>
    </row>
    <row r="484" spans="1:7" x14ac:dyDescent="0.25">
      <c r="A484" t="s">
        <v>985</v>
      </c>
      <c r="B484" s="556">
        <v>2</v>
      </c>
      <c r="C484" t="s">
        <v>1501</v>
      </c>
      <c r="D484" t="s">
        <v>1569</v>
      </c>
      <c r="E484" s="556">
        <f ca="1">VLOOKUP(A484,Data!C:I,7,FALSE)</f>
        <v>0</v>
      </c>
      <c r="F484" s="636" t="str">
        <f t="shared" si="38"/>
        <v>PR.IP-92</v>
      </c>
      <c r="G484" s="636" t="str">
        <f t="shared" ca="1" si="39"/>
        <v>PR.IP-920</v>
      </c>
    </row>
    <row r="485" spans="1:7" x14ac:dyDescent="0.25">
      <c r="A485" t="s">
        <v>986</v>
      </c>
      <c r="B485" s="556">
        <v>2</v>
      </c>
      <c r="C485" t="s">
        <v>1501</v>
      </c>
      <c r="D485" t="s">
        <v>1569</v>
      </c>
      <c r="E485" s="556">
        <f ca="1">VLOOKUP(A485,Data!C:I,7,FALSE)</f>
        <v>0</v>
      </c>
      <c r="F485" s="636" t="str">
        <f t="shared" si="38"/>
        <v>PR.IP-92</v>
      </c>
      <c r="G485" s="636" t="str">
        <f t="shared" ca="1" si="39"/>
        <v>PR.IP-920</v>
      </c>
    </row>
    <row r="486" spans="1:7" x14ac:dyDescent="0.25">
      <c r="A486" t="s">
        <v>987</v>
      </c>
      <c r="B486" s="556">
        <v>3</v>
      </c>
      <c r="C486" t="s">
        <v>1501</v>
      </c>
      <c r="D486" t="s">
        <v>1569</v>
      </c>
      <c r="E486" s="556">
        <f ca="1">VLOOKUP(A486,Data!C:I,7,FALSE)</f>
        <v>0</v>
      </c>
      <c r="F486" s="636" t="str">
        <f t="shared" si="38"/>
        <v>PR.IP-93</v>
      </c>
      <c r="G486" s="636" t="str">
        <f t="shared" ca="1" si="39"/>
        <v>PR.IP-930</v>
      </c>
    </row>
    <row r="487" spans="1:7" x14ac:dyDescent="0.25">
      <c r="A487" t="s">
        <v>988</v>
      </c>
      <c r="B487" s="556">
        <v>3</v>
      </c>
      <c r="C487" t="s">
        <v>1501</v>
      </c>
      <c r="D487" t="s">
        <v>1569</v>
      </c>
      <c r="E487" s="556">
        <f ca="1">VLOOKUP(A487,Data!C:I,7,FALSE)</f>
        <v>0</v>
      </c>
      <c r="F487" s="636" t="str">
        <f t="shared" si="38"/>
        <v>PR.IP-93</v>
      </c>
      <c r="G487" s="636" t="str">
        <f t="shared" ca="1" si="39"/>
        <v>PR.IP-930</v>
      </c>
    </row>
    <row r="488" spans="1:7" x14ac:dyDescent="0.25">
      <c r="A488" t="s">
        <v>989</v>
      </c>
      <c r="B488" s="556">
        <v>3</v>
      </c>
      <c r="C488" t="s">
        <v>446</v>
      </c>
      <c r="D488" t="s">
        <v>1529</v>
      </c>
      <c r="E488" s="556">
        <f ca="1">VLOOKUP(A488,Data!C:I,7,FALSE)</f>
        <v>0</v>
      </c>
      <c r="F488" s="636" t="str">
        <f t="shared" si="38"/>
        <v>ID.AM-63</v>
      </c>
      <c r="G488" s="636" t="str">
        <f t="shared" ca="1" si="39"/>
        <v>ID.AM-630</v>
      </c>
    </row>
    <row r="489" spans="1:7" x14ac:dyDescent="0.25">
      <c r="A489" t="s">
        <v>989</v>
      </c>
      <c r="B489" s="556">
        <v>3</v>
      </c>
      <c r="C489" t="s">
        <v>446</v>
      </c>
      <c r="D489" t="s">
        <v>1530</v>
      </c>
      <c r="E489" s="556">
        <f ca="1">VLOOKUP(A489,Data!C:I,7,FALSE)</f>
        <v>0</v>
      </c>
      <c r="F489" s="636" t="str">
        <f t="shared" si="38"/>
        <v>ID.GV-23</v>
      </c>
      <c r="G489" s="636" t="str">
        <f t="shared" ca="1" si="39"/>
        <v>ID.GV-230</v>
      </c>
    </row>
    <row r="490" spans="1:7" x14ac:dyDescent="0.25">
      <c r="A490" t="s">
        <v>989</v>
      </c>
      <c r="B490" s="556">
        <v>3</v>
      </c>
      <c r="C490" t="s">
        <v>1501</v>
      </c>
      <c r="D490" t="s">
        <v>1569</v>
      </c>
      <c r="E490" s="556">
        <f ca="1">VLOOKUP(A490,Data!C:I,7,FALSE)</f>
        <v>0</v>
      </c>
      <c r="F490" s="636" t="str">
        <f t="shared" si="38"/>
        <v>PR.IP-93</v>
      </c>
      <c r="G490" s="636" t="str">
        <f t="shared" ca="1" si="39"/>
        <v>PR.IP-930</v>
      </c>
    </row>
    <row r="491" spans="1:7" x14ac:dyDescent="0.25">
      <c r="A491" t="s">
        <v>990</v>
      </c>
      <c r="B491" s="556">
        <v>3</v>
      </c>
      <c r="C491" t="s">
        <v>1501</v>
      </c>
      <c r="D491" t="s">
        <v>1531</v>
      </c>
      <c r="E491" s="556">
        <f ca="1">VLOOKUP(A491,Data!C:I,7,FALSE)</f>
        <v>0</v>
      </c>
      <c r="F491" s="636" t="str">
        <f t="shared" si="38"/>
        <v>PR.IP-83</v>
      </c>
      <c r="G491" s="636" t="str">
        <f t="shared" ca="1" si="39"/>
        <v>PR.IP-830</v>
      </c>
    </row>
    <row r="492" spans="1:7" x14ac:dyDescent="0.25">
      <c r="A492" t="s">
        <v>41</v>
      </c>
      <c r="B492" s="556">
        <v>1</v>
      </c>
      <c r="C492" t="s">
        <v>446</v>
      </c>
      <c r="D492" t="s">
        <v>1566</v>
      </c>
      <c r="E492" s="556">
        <f ca="1">VLOOKUP(A492,Data!C:I,7,FALSE)</f>
        <v>0</v>
      </c>
      <c r="F492" s="636" t="str">
        <f t="shared" si="38"/>
        <v>ID.GV-41</v>
      </c>
      <c r="G492" s="636" t="str">
        <f t="shared" ca="1" si="39"/>
        <v>ID.GV-410</v>
      </c>
    </row>
    <row r="493" spans="1:7" x14ac:dyDescent="0.25">
      <c r="A493" t="s">
        <v>41</v>
      </c>
      <c r="B493" s="556">
        <v>1</v>
      </c>
      <c r="C493" t="s">
        <v>446</v>
      </c>
      <c r="D493" t="s">
        <v>1567</v>
      </c>
      <c r="E493" s="556">
        <f ca="1">VLOOKUP(A493,Data!C:I,7,FALSE)</f>
        <v>0</v>
      </c>
      <c r="F493" s="636" t="str">
        <f t="shared" si="38"/>
        <v>ID.RM-11</v>
      </c>
      <c r="G493" s="636" t="str">
        <f t="shared" ca="1" si="39"/>
        <v>ID.RM-110</v>
      </c>
    </row>
    <row r="494" spans="1:7" x14ac:dyDescent="0.25">
      <c r="A494" t="s">
        <v>42</v>
      </c>
      <c r="B494" s="556">
        <v>2</v>
      </c>
      <c r="C494" t="s">
        <v>446</v>
      </c>
      <c r="D494" t="s">
        <v>1566</v>
      </c>
      <c r="E494" s="556">
        <f ca="1">VLOOKUP(A494,Data!C:I,7,FALSE)</f>
        <v>0</v>
      </c>
      <c r="F494" s="636" t="str">
        <f t="shared" si="38"/>
        <v>ID.GV-42</v>
      </c>
      <c r="G494" s="636" t="str">
        <f t="shared" ca="1" si="39"/>
        <v>ID.GV-420</v>
      </c>
    </row>
    <row r="495" spans="1:7" x14ac:dyDescent="0.25">
      <c r="A495" t="s">
        <v>42</v>
      </c>
      <c r="B495" s="556">
        <v>2</v>
      </c>
      <c r="C495" t="s">
        <v>446</v>
      </c>
      <c r="D495" t="s">
        <v>1567</v>
      </c>
      <c r="E495" s="556">
        <f ca="1">VLOOKUP(A495,Data!C:I,7,FALSE)</f>
        <v>0</v>
      </c>
      <c r="F495" s="636" t="str">
        <f t="shared" si="38"/>
        <v>ID.RM-12</v>
      </c>
      <c r="G495" s="636" t="str">
        <f t="shared" ca="1" si="39"/>
        <v>ID.RM-120</v>
      </c>
    </row>
    <row r="496" spans="1:7" x14ac:dyDescent="0.25">
      <c r="A496" t="s">
        <v>43</v>
      </c>
      <c r="B496" s="556">
        <v>2</v>
      </c>
      <c r="C496" t="s">
        <v>446</v>
      </c>
      <c r="D496" t="s">
        <v>1566</v>
      </c>
      <c r="E496" s="556">
        <f ca="1">VLOOKUP(A496,Data!C:I,7,FALSE)</f>
        <v>0</v>
      </c>
      <c r="F496" s="636" t="str">
        <f t="shared" si="38"/>
        <v>ID.GV-42</v>
      </c>
      <c r="G496" s="636" t="str">
        <f t="shared" ca="1" si="39"/>
        <v>ID.GV-420</v>
      </c>
    </row>
    <row r="497" spans="1:7" x14ac:dyDescent="0.25">
      <c r="A497" t="s">
        <v>43</v>
      </c>
      <c r="B497" s="556">
        <v>2</v>
      </c>
      <c r="C497" t="s">
        <v>446</v>
      </c>
      <c r="D497" t="s">
        <v>1567</v>
      </c>
      <c r="E497" s="556">
        <f ca="1">VLOOKUP(A497,Data!C:I,7,FALSE)</f>
        <v>0</v>
      </c>
      <c r="F497" s="636" t="str">
        <f t="shared" si="38"/>
        <v>ID.RM-12</v>
      </c>
      <c r="G497" s="636" t="str">
        <f t="shared" ca="1" si="39"/>
        <v>ID.RM-120</v>
      </c>
    </row>
    <row r="498" spans="1:7" x14ac:dyDescent="0.25">
      <c r="A498" t="s">
        <v>45</v>
      </c>
      <c r="B498" s="556">
        <v>2</v>
      </c>
      <c r="C498" t="s">
        <v>446</v>
      </c>
      <c r="D498" t="s">
        <v>1566</v>
      </c>
      <c r="E498" s="556">
        <f ca="1">VLOOKUP(A498,Data!C:I,7,FALSE)</f>
        <v>0</v>
      </c>
      <c r="F498" s="636" t="str">
        <f t="shared" si="38"/>
        <v>ID.GV-42</v>
      </c>
      <c r="G498" s="636" t="str">
        <f t="shared" ca="1" si="39"/>
        <v>ID.GV-420</v>
      </c>
    </row>
    <row r="499" spans="1:7" x14ac:dyDescent="0.25">
      <c r="A499" t="s">
        <v>47</v>
      </c>
      <c r="B499" s="556">
        <v>3</v>
      </c>
      <c r="C499" t="s">
        <v>446</v>
      </c>
      <c r="D499" t="s">
        <v>1564</v>
      </c>
      <c r="E499" s="556">
        <f ca="1">VLOOKUP(A499,Data!C:I,7,FALSE)</f>
        <v>0</v>
      </c>
      <c r="F499" s="636" t="str">
        <f t="shared" si="38"/>
        <v>ID.BE-33</v>
      </c>
      <c r="G499" s="636" t="str">
        <f t="shared" ca="1" si="39"/>
        <v>ID.BE-330</v>
      </c>
    </row>
    <row r="500" spans="1:7" x14ac:dyDescent="0.25">
      <c r="A500" t="s">
        <v>47</v>
      </c>
      <c r="B500" s="556">
        <v>3</v>
      </c>
      <c r="C500" t="s">
        <v>446</v>
      </c>
      <c r="D500" t="s">
        <v>1566</v>
      </c>
      <c r="E500" s="556">
        <f ca="1">VLOOKUP(A500,Data!C:I,7,FALSE)</f>
        <v>0</v>
      </c>
      <c r="F500" s="636" t="str">
        <f t="shared" si="38"/>
        <v>ID.GV-43</v>
      </c>
      <c r="G500" s="636" t="str">
        <f t="shared" ca="1" si="39"/>
        <v>ID.GV-430</v>
      </c>
    </row>
    <row r="501" spans="1:7" x14ac:dyDescent="0.25">
      <c r="A501" t="s">
        <v>47</v>
      </c>
      <c r="B501" s="556">
        <v>3</v>
      </c>
      <c r="C501" t="s">
        <v>446</v>
      </c>
      <c r="D501" t="s">
        <v>1567</v>
      </c>
      <c r="E501" s="556">
        <f ca="1">VLOOKUP(A501,Data!C:I,7,FALSE)</f>
        <v>0</v>
      </c>
      <c r="F501" s="636" t="str">
        <f t="shared" si="38"/>
        <v>ID.RM-13</v>
      </c>
      <c r="G501" s="636" t="str">
        <f t="shared" ca="1" si="39"/>
        <v>ID.RM-130</v>
      </c>
    </row>
    <row r="502" spans="1:7" x14ac:dyDescent="0.25">
      <c r="A502" t="s">
        <v>49</v>
      </c>
      <c r="B502" s="556">
        <v>3</v>
      </c>
      <c r="C502" t="s">
        <v>446</v>
      </c>
      <c r="D502" t="s">
        <v>1564</v>
      </c>
      <c r="E502" s="556">
        <f ca="1">VLOOKUP(A502,Data!C:I,7,FALSE)</f>
        <v>0</v>
      </c>
      <c r="F502" s="636" t="str">
        <f t="shared" si="38"/>
        <v>ID.BE-33</v>
      </c>
      <c r="G502" s="636" t="str">
        <f t="shared" ca="1" si="39"/>
        <v>ID.BE-330</v>
      </c>
    </row>
    <row r="503" spans="1:7" x14ac:dyDescent="0.25">
      <c r="A503" t="s">
        <v>49</v>
      </c>
      <c r="B503" s="556">
        <v>3</v>
      </c>
      <c r="C503" t="s">
        <v>446</v>
      </c>
      <c r="D503" t="s">
        <v>1566</v>
      </c>
      <c r="E503" s="556">
        <f ca="1">VLOOKUP(A503,Data!C:I,7,FALSE)</f>
        <v>0</v>
      </c>
      <c r="F503" s="636" t="str">
        <f t="shared" si="38"/>
        <v>ID.GV-43</v>
      </c>
      <c r="G503" s="636" t="str">
        <f t="shared" ca="1" si="39"/>
        <v>ID.GV-430</v>
      </c>
    </row>
    <row r="504" spans="1:7" x14ac:dyDescent="0.25">
      <c r="A504" t="s">
        <v>49</v>
      </c>
      <c r="B504" s="556">
        <v>3</v>
      </c>
      <c r="C504" t="s">
        <v>446</v>
      </c>
      <c r="D504" t="s">
        <v>1567</v>
      </c>
      <c r="E504" s="556">
        <f ca="1">VLOOKUP(A504,Data!C:I,7,FALSE)</f>
        <v>0</v>
      </c>
      <c r="F504" s="636" t="str">
        <f t="shared" si="38"/>
        <v>ID.RM-13</v>
      </c>
      <c r="G504" s="636" t="str">
        <f t="shared" ca="1" si="39"/>
        <v>ID.RM-130</v>
      </c>
    </row>
    <row r="505" spans="1:7" x14ac:dyDescent="0.25">
      <c r="A505" t="s">
        <v>58</v>
      </c>
      <c r="B505" s="556">
        <v>1</v>
      </c>
      <c r="C505" t="s">
        <v>446</v>
      </c>
      <c r="D505" t="s">
        <v>1566</v>
      </c>
      <c r="E505" s="556">
        <f ca="1">VLOOKUP(A505,Data!C:I,7,FALSE)</f>
        <v>0</v>
      </c>
      <c r="F505" s="636" t="str">
        <f t="shared" si="38"/>
        <v>ID.GV-41</v>
      </c>
      <c r="G505" s="636" t="str">
        <f t="shared" ca="1" si="39"/>
        <v>ID.GV-410</v>
      </c>
    </row>
    <row r="506" spans="1:7" x14ac:dyDescent="0.25">
      <c r="A506" t="s">
        <v>58</v>
      </c>
      <c r="B506" s="556">
        <v>1</v>
      </c>
      <c r="C506" t="s">
        <v>446</v>
      </c>
      <c r="D506" t="s">
        <v>1567</v>
      </c>
      <c r="E506" s="556">
        <f ca="1">VLOOKUP(A506,Data!C:I,7,FALSE)</f>
        <v>0</v>
      </c>
      <c r="F506" s="636" t="str">
        <f t="shared" si="38"/>
        <v>ID.RM-11</v>
      </c>
      <c r="G506" s="636" t="str">
        <f t="shared" ca="1" si="39"/>
        <v>ID.RM-110</v>
      </c>
    </row>
    <row r="507" spans="1:7" x14ac:dyDescent="0.25">
      <c r="A507" t="s">
        <v>60</v>
      </c>
      <c r="B507" s="556">
        <v>2</v>
      </c>
      <c r="C507" t="s">
        <v>446</v>
      </c>
      <c r="D507" t="s">
        <v>1566</v>
      </c>
      <c r="E507" s="556">
        <f ca="1">VLOOKUP(A507,Data!C:I,7,FALSE)</f>
        <v>0</v>
      </c>
      <c r="F507" s="636" t="str">
        <f t="shared" si="38"/>
        <v>ID.GV-42</v>
      </c>
      <c r="G507" s="636" t="str">
        <f t="shared" ca="1" si="39"/>
        <v>ID.GV-420</v>
      </c>
    </row>
    <row r="508" spans="1:7" x14ac:dyDescent="0.25">
      <c r="A508" t="s">
        <v>60</v>
      </c>
      <c r="B508" s="556">
        <v>2</v>
      </c>
      <c r="C508" t="s">
        <v>446</v>
      </c>
      <c r="D508" t="s">
        <v>1567</v>
      </c>
      <c r="E508" s="556">
        <f ca="1">VLOOKUP(A508,Data!C:I,7,FALSE)</f>
        <v>0</v>
      </c>
      <c r="F508" s="636" t="str">
        <f t="shared" si="38"/>
        <v>ID.RM-12</v>
      </c>
      <c r="G508" s="636" t="str">
        <f t="shared" ca="1" si="39"/>
        <v>ID.RM-120</v>
      </c>
    </row>
    <row r="509" spans="1:7" x14ac:dyDescent="0.25">
      <c r="A509" t="s">
        <v>62</v>
      </c>
      <c r="B509" s="556">
        <v>2</v>
      </c>
      <c r="C509" t="s">
        <v>446</v>
      </c>
      <c r="D509" t="s">
        <v>1566</v>
      </c>
      <c r="E509" s="556">
        <f ca="1">VLOOKUP(A509,Data!C:I,7,FALSE)</f>
        <v>0</v>
      </c>
      <c r="F509" s="636" t="str">
        <f t="shared" si="38"/>
        <v>ID.GV-42</v>
      </c>
      <c r="G509" s="636" t="str">
        <f t="shared" ca="1" si="39"/>
        <v>ID.GV-420</v>
      </c>
    </row>
    <row r="510" spans="1:7" x14ac:dyDescent="0.25">
      <c r="A510" t="s">
        <v>62</v>
      </c>
      <c r="B510" s="556">
        <v>2</v>
      </c>
      <c r="C510" t="s">
        <v>446</v>
      </c>
      <c r="D510" t="s">
        <v>1567</v>
      </c>
      <c r="E510" s="556">
        <f ca="1">VLOOKUP(A510,Data!C:I,7,FALSE)</f>
        <v>0</v>
      </c>
      <c r="F510" s="636" t="str">
        <f t="shared" si="38"/>
        <v>ID.RM-12</v>
      </c>
      <c r="G510" s="636" t="str">
        <f t="shared" ca="1" si="39"/>
        <v>ID.RM-120</v>
      </c>
    </row>
    <row r="511" spans="1:7" x14ac:dyDescent="0.25">
      <c r="A511" t="s">
        <v>65</v>
      </c>
      <c r="B511" s="556">
        <v>2</v>
      </c>
      <c r="C511" t="s">
        <v>446</v>
      </c>
      <c r="D511" t="s">
        <v>1566</v>
      </c>
      <c r="E511" s="556">
        <f ca="1">VLOOKUP(A511,Data!C:I,7,FALSE)</f>
        <v>0</v>
      </c>
      <c r="F511" s="636" t="str">
        <f t="shared" si="38"/>
        <v>ID.GV-42</v>
      </c>
      <c r="G511" s="636" t="str">
        <f t="shared" ca="1" si="39"/>
        <v>ID.GV-420</v>
      </c>
    </row>
    <row r="512" spans="1:7" x14ac:dyDescent="0.25">
      <c r="A512" t="s">
        <v>65</v>
      </c>
      <c r="B512" s="556">
        <v>2</v>
      </c>
      <c r="C512" t="s">
        <v>446</v>
      </c>
      <c r="D512" t="s">
        <v>1567</v>
      </c>
      <c r="E512" s="556">
        <f ca="1">VLOOKUP(A512,Data!C:I,7,FALSE)</f>
        <v>0</v>
      </c>
      <c r="F512" s="636" t="str">
        <f t="shared" si="38"/>
        <v>ID.RM-12</v>
      </c>
      <c r="G512" s="636" t="str">
        <f t="shared" ca="1" si="39"/>
        <v>ID.RM-120</v>
      </c>
    </row>
    <row r="513" spans="1:7" x14ac:dyDescent="0.25">
      <c r="A513" t="s">
        <v>68</v>
      </c>
      <c r="B513" s="556">
        <v>2</v>
      </c>
      <c r="C513" t="s">
        <v>446</v>
      </c>
      <c r="D513" t="s">
        <v>1566</v>
      </c>
      <c r="E513" s="556">
        <f ca="1">VLOOKUP(A513,Data!C:I,7,FALSE)</f>
        <v>0</v>
      </c>
      <c r="F513" s="636" t="str">
        <f t="shared" si="38"/>
        <v>ID.GV-42</v>
      </c>
      <c r="G513" s="636" t="str">
        <f t="shared" ca="1" si="39"/>
        <v>ID.GV-420</v>
      </c>
    </row>
    <row r="514" spans="1:7" x14ac:dyDescent="0.25">
      <c r="A514" t="s">
        <v>68</v>
      </c>
      <c r="B514" s="556">
        <v>2</v>
      </c>
      <c r="C514" t="s">
        <v>446</v>
      </c>
      <c r="D514" t="s">
        <v>1552</v>
      </c>
      <c r="E514" s="556">
        <f ca="1">VLOOKUP(A514,Data!C:I,7,FALSE)</f>
        <v>0</v>
      </c>
      <c r="F514" s="636" t="str">
        <f t="shared" si="38"/>
        <v>ID.RA-52</v>
      </c>
      <c r="G514" s="636" t="str">
        <f t="shared" ca="1" si="39"/>
        <v>ID.RA-520</v>
      </c>
    </row>
    <row r="515" spans="1:7" x14ac:dyDescent="0.25">
      <c r="A515" t="s">
        <v>68</v>
      </c>
      <c r="B515" s="556">
        <v>2</v>
      </c>
      <c r="C515" t="s">
        <v>446</v>
      </c>
      <c r="D515" t="s">
        <v>1567</v>
      </c>
      <c r="E515" s="556">
        <f ca="1">VLOOKUP(A515,Data!C:I,7,FALSE)</f>
        <v>0</v>
      </c>
      <c r="F515" s="636" t="str">
        <f t="shared" ref="F515:F578" si="40">CONCATENATE($D515,$B515)</f>
        <v>ID.RM-12</v>
      </c>
      <c r="G515" s="636" t="str">
        <f t="shared" ref="G515:G578" ca="1" si="41">_xlfn.IFNA(CONCATENATE(F515,$E515),CONCATENATE(F515,$E515,0))</f>
        <v>ID.RM-120</v>
      </c>
    </row>
    <row r="516" spans="1:7" x14ac:dyDescent="0.25">
      <c r="A516" t="s">
        <v>68</v>
      </c>
      <c r="B516" s="556">
        <v>2</v>
      </c>
      <c r="C516" t="s">
        <v>1503</v>
      </c>
      <c r="D516" t="s">
        <v>1601</v>
      </c>
      <c r="E516" s="556">
        <f ca="1">VLOOKUP(A516,Data!C:I,7,FALSE)</f>
        <v>0</v>
      </c>
      <c r="F516" s="636" t="str">
        <f t="shared" si="40"/>
        <v>RS.MI-32</v>
      </c>
      <c r="G516" s="636" t="str">
        <f t="shared" ca="1" si="41"/>
        <v>RS.MI-320</v>
      </c>
    </row>
    <row r="517" spans="1:7" x14ac:dyDescent="0.25">
      <c r="A517" t="s">
        <v>945</v>
      </c>
      <c r="B517" s="556">
        <v>2</v>
      </c>
      <c r="C517" t="s">
        <v>446</v>
      </c>
      <c r="D517" t="s">
        <v>1566</v>
      </c>
      <c r="E517" s="556">
        <f ca="1">VLOOKUP(A517,Data!C:I,7,FALSE)</f>
        <v>0</v>
      </c>
      <c r="F517" s="636" t="str">
        <f t="shared" si="40"/>
        <v>ID.GV-42</v>
      </c>
      <c r="G517" s="636" t="str">
        <f t="shared" ca="1" si="41"/>
        <v>ID.GV-420</v>
      </c>
    </row>
    <row r="518" spans="1:7" x14ac:dyDescent="0.25">
      <c r="A518" t="s">
        <v>945</v>
      </c>
      <c r="B518" s="556">
        <v>2</v>
      </c>
      <c r="C518" t="s">
        <v>446</v>
      </c>
      <c r="D518" t="s">
        <v>1567</v>
      </c>
      <c r="E518" s="556">
        <f ca="1">VLOOKUP(A518,Data!C:I,7,FALSE)</f>
        <v>0</v>
      </c>
      <c r="F518" s="636" t="str">
        <f t="shared" si="40"/>
        <v>ID.RM-12</v>
      </c>
      <c r="G518" s="636" t="str">
        <f t="shared" ca="1" si="41"/>
        <v>ID.RM-120</v>
      </c>
    </row>
    <row r="519" spans="1:7" x14ac:dyDescent="0.25">
      <c r="A519" t="s">
        <v>946</v>
      </c>
      <c r="B519" s="556">
        <v>2</v>
      </c>
      <c r="C519" t="s">
        <v>446</v>
      </c>
      <c r="D519" t="s">
        <v>1566</v>
      </c>
      <c r="E519" s="556">
        <f ca="1">VLOOKUP(A519,Data!C:I,7,FALSE)</f>
        <v>0</v>
      </c>
      <c r="F519" s="636" t="str">
        <f t="shared" si="40"/>
        <v>ID.GV-42</v>
      </c>
      <c r="G519" s="636" t="str">
        <f t="shared" ca="1" si="41"/>
        <v>ID.GV-420</v>
      </c>
    </row>
    <row r="520" spans="1:7" x14ac:dyDescent="0.25">
      <c r="A520" t="s">
        <v>946</v>
      </c>
      <c r="B520" s="556">
        <v>2</v>
      </c>
      <c r="C520" t="s">
        <v>446</v>
      </c>
      <c r="D520" t="s">
        <v>1567</v>
      </c>
      <c r="E520" s="556">
        <f ca="1">VLOOKUP(A520,Data!C:I,7,FALSE)</f>
        <v>0</v>
      </c>
      <c r="F520" s="636" t="str">
        <f t="shared" si="40"/>
        <v>ID.RM-12</v>
      </c>
      <c r="G520" s="636" t="str">
        <f t="shared" ca="1" si="41"/>
        <v>ID.RM-120</v>
      </c>
    </row>
    <row r="521" spans="1:7" x14ac:dyDescent="0.25">
      <c r="A521" t="s">
        <v>947</v>
      </c>
      <c r="B521" s="556">
        <v>3</v>
      </c>
      <c r="C521" t="s">
        <v>446</v>
      </c>
      <c r="D521" t="s">
        <v>1550</v>
      </c>
      <c r="E521" s="556">
        <f ca="1">VLOOKUP(A521,Data!C:I,7,FALSE)</f>
        <v>0</v>
      </c>
      <c r="F521" s="636" t="str">
        <f t="shared" si="40"/>
        <v>ID.AM-53</v>
      </c>
      <c r="G521" s="636" t="str">
        <f t="shared" ca="1" si="41"/>
        <v>ID.AM-530</v>
      </c>
    </row>
    <row r="522" spans="1:7" x14ac:dyDescent="0.25">
      <c r="A522" t="s">
        <v>947</v>
      </c>
      <c r="B522" s="556">
        <v>3</v>
      </c>
      <c r="C522" t="s">
        <v>446</v>
      </c>
      <c r="D522" t="s">
        <v>1566</v>
      </c>
      <c r="E522" s="556">
        <f ca="1">VLOOKUP(A522,Data!C:I,7,FALSE)</f>
        <v>0</v>
      </c>
      <c r="F522" s="636" t="str">
        <f t="shared" si="40"/>
        <v>ID.GV-43</v>
      </c>
      <c r="G522" s="636" t="str">
        <f t="shared" ca="1" si="41"/>
        <v>ID.GV-430</v>
      </c>
    </row>
    <row r="523" spans="1:7" x14ac:dyDescent="0.25">
      <c r="A523" t="s">
        <v>947</v>
      </c>
      <c r="B523" s="556">
        <v>3</v>
      </c>
      <c r="C523" t="s">
        <v>446</v>
      </c>
      <c r="D523" t="s">
        <v>1567</v>
      </c>
      <c r="E523" s="556">
        <f ca="1">VLOOKUP(A523,Data!C:I,7,FALSE)</f>
        <v>0</v>
      </c>
      <c r="F523" s="636" t="str">
        <f t="shared" si="40"/>
        <v>ID.RM-13</v>
      </c>
      <c r="G523" s="636" t="str">
        <f t="shared" ca="1" si="41"/>
        <v>ID.RM-130</v>
      </c>
    </row>
    <row r="524" spans="1:7" x14ac:dyDescent="0.25">
      <c r="A524" t="s">
        <v>948</v>
      </c>
      <c r="B524" s="556">
        <v>3</v>
      </c>
      <c r="C524" t="s">
        <v>446</v>
      </c>
      <c r="D524" t="s">
        <v>1566</v>
      </c>
      <c r="E524" s="556">
        <f ca="1">VLOOKUP(A524,Data!C:I,7,FALSE)</f>
        <v>0</v>
      </c>
      <c r="F524" s="636" t="str">
        <f t="shared" si="40"/>
        <v>ID.GV-43</v>
      </c>
      <c r="G524" s="636" t="str">
        <f t="shared" ca="1" si="41"/>
        <v>ID.GV-430</v>
      </c>
    </row>
    <row r="525" spans="1:7" x14ac:dyDescent="0.25">
      <c r="A525" t="s">
        <v>948</v>
      </c>
      <c r="B525" s="556">
        <v>3</v>
      </c>
      <c r="C525" t="s">
        <v>446</v>
      </c>
      <c r="D525" t="s">
        <v>1552</v>
      </c>
      <c r="E525" s="556">
        <f ca="1">VLOOKUP(A525,Data!C:I,7,FALSE)</f>
        <v>0</v>
      </c>
      <c r="F525" s="636" t="str">
        <f t="shared" si="40"/>
        <v>ID.RA-53</v>
      </c>
      <c r="G525" s="636" t="str">
        <f t="shared" ca="1" si="41"/>
        <v>ID.RA-530</v>
      </c>
    </row>
    <row r="526" spans="1:7" x14ac:dyDescent="0.25">
      <c r="A526" t="s">
        <v>948</v>
      </c>
      <c r="B526" s="556">
        <v>3</v>
      </c>
      <c r="C526" t="s">
        <v>446</v>
      </c>
      <c r="D526" t="s">
        <v>1567</v>
      </c>
      <c r="E526" s="556">
        <f ca="1">VLOOKUP(A526,Data!C:I,7,FALSE)</f>
        <v>0</v>
      </c>
      <c r="F526" s="636" t="str">
        <f t="shared" si="40"/>
        <v>ID.RM-13</v>
      </c>
      <c r="G526" s="636" t="str">
        <f t="shared" ca="1" si="41"/>
        <v>ID.RM-130</v>
      </c>
    </row>
    <row r="527" spans="1:7" x14ac:dyDescent="0.25">
      <c r="A527" t="s">
        <v>948</v>
      </c>
      <c r="B527" s="556">
        <v>3</v>
      </c>
      <c r="C527" t="s">
        <v>1503</v>
      </c>
      <c r="D527" t="s">
        <v>1601</v>
      </c>
      <c r="E527" s="556">
        <f ca="1">VLOOKUP(A527,Data!C:I,7,FALSE)</f>
        <v>0</v>
      </c>
      <c r="F527" s="636" t="str">
        <f t="shared" si="40"/>
        <v>RS.MI-33</v>
      </c>
      <c r="G527" s="636" t="str">
        <f t="shared" ca="1" si="41"/>
        <v>RS.MI-330</v>
      </c>
    </row>
    <row r="528" spans="1:7" x14ac:dyDescent="0.25">
      <c r="A528" t="s">
        <v>949</v>
      </c>
      <c r="B528" s="556">
        <v>3</v>
      </c>
      <c r="C528" t="s">
        <v>446</v>
      </c>
      <c r="D528" t="s">
        <v>1566</v>
      </c>
      <c r="E528" s="556">
        <f ca="1">VLOOKUP(A528,Data!C:I,7,FALSE)</f>
        <v>0</v>
      </c>
      <c r="F528" s="636" t="str">
        <f t="shared" si="40"/>
        <v>ID.GV-43</v>
      </c>
      <c r="G528" s="636" t="str">
        <f t="shared" ca="1" si="41"/>
        <v>ID.GV-430</v>
      </c>
    </row>
    <row r="529" spans="1:7" x14ac:dyDescent="0.25">
      <c r="A529" t="s">
        <v>949</v>
      </c>
      <c r="B529" s="556">
        <v>3</v>
      </c>
      <c r="C529" t="s">
        <v>446</v>
      </c>
      <c r="D529" t="s">
        <v>1552</v>
      </c>
      <c r="E529" s="556">
        <f ca="1">VLOOKUP(A529,Data!C:I,7,FALSE)</f>
        <v>0</v>
      </c>
      <c r="F529" s="636" t="str">
        <f t="shared" si="40"/>
        <v>ID.RA-53</v>
      </c>
      <c r="G529" s="636" t="str">
        <f t="shared" ca="1" si="41"/>
        <v>ID.RA-530</v>
      </c>
    </row>
    <row r="530" spans="1:7" x14ac:dyDescent="0.25">
      <c r="A530" t="s">
        <v>949</v>
      </c>
      <c r="B530" s="556">
        <v>3</v>
      </c>
      <c r="C530" t="s">
        <v>446</v>
      </c>
      <c r="D530" t="s">
        <v>1567</v>
      </c>
      <c r="E530" s="556">
        <f ca="1">VLOOKUP(A530,Data!C:I,7,FALSE)</f>
        <v>0</v>
      </c>
      <c r="F530" s="636" t="str">
        <f t="shared" si="40"/>
        <v>ID.RM-13</v>
      </c>
      <c r="G530" s="636" t="str">
        <f t="shared" ca="1" si="41"/>
        <v>ID.RM-130</v>
      </c>
    </row>
    <row r="531" spans="1:7" x14ac:dyDescent="0.25">
      <c r="A531" t="s">
        <v>950</v>
      </c>
      <c r="B531" s="556">
        <v>3</v>
      </c>
      <c r="C531" t="s">
        <v>446</v>
      </c>
      <c r="D531" t="s">
        <v>1566</v>
      </c>
      <c r="E531" s="556">
        <f ca="1">VLOOKUP(A531,Data!C:I,7,FALSE)</f>
        <v>0</v>
      </c>
      <c r="F531" s="636" t="str">
        <f t="shared" si="40"/>
        <v>ID.GV-43</v>
      </c>
      <c r="G531" s="636" t="str">
        <f t="shared" ca="1" si="41"/>
        <v>ID.GV-430</v>
      </c>
    </row>
    <row r="532" spans="1:7" x14ac:dyDescent="0.25">
      <c r="A532" t="s">
        <v>950</v>
      </c>
      <c r="B532" s="556">
        <v>3</v>
      </c>
      <c r="C532" t="s">
        <v>446</v>
      </c>
      <c r="D532" t="s">
        <v>1567</v>
      </c>
      <c r="E532" s="556">
        <f ca="1">VLOOKUP(A532,Data!C:I,7,FALSE)</f>
        <v>0</v>
      </c>
      <c r="F532" s="636" t="str">
        <f t="shared" si="40"/>
        <v>ID.RM-13</v>
      </c>
      <c r="G532" s="636" t="str">
        <f t="shared" ca="1" si="41"/>
        <v>ID.RM-130</v>
      </c>
    </row>
    <row r="533" spans="1:7" x14ac:dyDescent="0.25">
      <c r="A533" t="s">
        <v>950</v>
      </c>
      <c r="B533" s="556">
        <v>3</v>
      </c>
      <c r="C533" t="s">
        <v>446</v>
      </c>
      <c r="D533" t="s">
        <v>1563</v>
      </c>
      <c r="E533" s="556">
        <f ca="1">VLOOKUP(A533,Data!C:I,7,FALSE)</f>
        <v>0</v>
      </c>
      <c r="F533" s="636" t="str">
        <f t="shared" si="40"/>
        <v>ID.SC-13</v>
      </c>
      <c r="G533" s="636" t="str">
        <f t="shared" ca="1" si="41"/>
        <v>ID.SC-130</v>
      </c>
    </row>
    <row r="534" spans="1:7" x14ac:dyDescent="0.25">
      <c r="A534" t="s">
        <v>951</v>
      </c>
      <c r="B534" s="556">
        <v>3</v>
      </c>
      <c r="C534" t="s">
        <v>446</v>
      </c>
      <c r="D534" t="s">
        <v>1566</v>
      </c>
      <c r="E534" s="556">
        <f ca="1">VLOOKUP(A534,Data!C:I,7,FALSE)</f>
        <v>0</v>
      </c>
      <c r="F534" s="636" t="str">
        <f t="shared" si="40"/>
        <v>ID.GV-43</v>
      </c>
      <c r="G534" s="636" t="str">
        <f t="shared" ca="1" si="41"/>
        <v>ID.GV-430</v>
      </c>
    </row>
    <row r="535" spans="1:7" x14ac:dyDescent="0.25">
      <c r="A535" t="s">
        <v>951</v>
      </c>
      <c r="B535" s="556">
        <v>3</v>
      </c>
      <c r="C535" t="s">
        <v>446</v>
      </c>
      <c r="D535" t="s">
        <v>1567</v>
      </c>
      <c r="E535" s="556">
        <f ca="1">VLOOKUP(A535,Data!C:I,7,FALSE)</f>
        <v>0</v>
      </c>
      <c r="F535" s="636" t="str">
        <f t="shared" si="40"/>
        <v>ID.RM-13</v>
      </c>
      <c r="G535" s="636" t="str">
        <f t="shared" ca="1" si="41"/>
        <v>ID.RM-130</v>
      </c>
    </row>
    <row r="536" spans="1:7" x14ac:dyDescent="0.25">
      <c r="A536" t="s">
        <v>952</v>
      </c>
      <c r="B536" s="556">
        <v>3</v>
      </c>
      <c r="C536" t="s">
        <v>446</v>
      </c>
      <c r="D536" t="s">
        <v>1559</v>
      </c>
      <c r="E536" s="556">
        <f ca="1">VLOOKUP(A536,Data!C:I,7,FALSE)</f>
        <v>0</v>
      </c>
      <c r="F536" s="636" t="str">
        <f t="shared" si="40"/>
        <v>ID.BE-23</v>
      </c>
      <c r="G536" s="636" t="str">
        <f t="shared" ca="1" si="41"/>
        <v>ID.BE-230</v>
      </c>
    </row>
    <row r="537" spans="1:7" x14ac:dyDescent="0.25">
      <c r="A537" t="s">
        <v>952</v>
      </c>
      <c r="B537" s="556">
        <v>3</v>
      </c>
      <c r="C537" t="s">
        <v>446</v>
      </c>
      <c r="D537" t="s">
        <v>1566</v>
      </c>
      <c r="E537" s="556">
        <f ca="1">VLOOKUP(A537,Data!C:I,7,FALSE)</f>
        <v>0</v>
      </c>
      <c r="F537" s="636" t="str">
        <f t="shared" si="40"/>
        <v>ID.GV-43</v>
      </c>
      <c r="G537" s="636" t="str">
        <f t="shared" ca="1" si="41"/>
        <v>ID.GV-430</v>
      </c>
    </row>
    <row r="538" spans="1:7" x14ac:dyDescent="0.25">
      <c r="A538" t="s">
        <v>952</v>
      </c>
      <c r="B538" s="556">
        <v>3</v>
      </c>
      <c r="C538" t="s">
        <v>446</v>
      </c>
      <c r="D538" t="s">
        <v>1567</v>
      </c>
      <c r="E538" s="556">
        <f ca="1">VLOOKUP(A538,Data!C:I,7,FALSE)</f>
        <v>0</v>
      </c>
      <c r="F538" s="636" t="str">
        <f t="shared" si="40"/>
        <v>ID.RM-13</v>
      </c>
      <c r="G538" s="636" t="str">
        <f t="shared" ca="1" si="41"/>
        <v>ID.RM-130</v>
      </c>
    </row>
    <row r="539" spans="1:7" x14ac:dyDescent="0.25">
      <c r="A539" t="s">
        <v>70</v>
      </c>
      <c r="B539" s="556">
        <v>1</v>
      </c>
      <c r="C539" t="s">
        <v>446</v>
      </c>
      <c r="D539" t="s">
        <v>1566</v>
      </c>
      <c r="E539" s="556">
        <f ca="1">VLOOKUP(A539,Data!C:I,7,FALSE)</f>
        <v>0</v>
      </c>
      <c r="F539" s="636" t="str">
        <f t="shared" si="40"/>
        <v>ID.GV-41</v>
      </c>
      <c r="G539" s="636" t="str">
        <f t="shared" ca="1" si="41"/>
        <v>ID.GV-410</v>
      </c>
    </row>
    <row r="540" spans="1:7" x14ac:dyDescent="0.25">
      <c r="A540" t="s">
        <v>70</v>
      </c>
      <c r="B540" s="556">
        <v>1</v>
      </c>
      <c r="C540" t="s">
        <v>446</v>
      </c>
      <c r="D540" t="s">
        <v>1552</v>
      </c>
      <c r="E540" s="556">
        <f ca="1">VLOOKUP(A540,Data!C:I,7,FALSE)</f>
        <v>0</v>
      </c>
      <c r="F540" s="636" t="str">
        <f t="shared" si="40"/>
        <v>ID.RA-51</v>
      </c>
      <c r="G540" s="636" t="str">
        <f t="shared" ca="1" si="41"/>
        <v>ID.RA-510</v>
      </c>
    </row>
    <row r="541" spans="1:7" x14ac:dyDescent="0.25">
      <c r="A541" t="s">
        <v>70</v>
      </c>
      <c r="B541" s="556">
        <v>1</v>
      </c>
      <c r="C541" t="s">
        <v>446</v>
      </c>
      <c r="D541" t="s">
        <v>1567</v>
      </c>
      <c r="E541" s="556">
        <f ca="1">VLOOKUP(A541,Data!C:I,7,FALSE)</f>
        <v>0</v>
      </c>
      <c r="F541" s="636" t="str">
        <f t="shared" si="40"/>
        <v>ID.RM-11</v>
      </c>
      <c r="G541" s="636" t="str">
        <f t="shared" ca="1" si="41"/>
        <v>ID.RM-110</v>
      </c>
    </row>
    <row r="542" spans="1:7" x14ac:dyDescent="0.25">
      <c r="A542" t="s">
        <v>72</v>
      </c>
      <c r="B542" s="556">
        <v>2</v>
      </c>
      <c r="C542" t="s">
        <v>446</v>
      </c>
      <c r="D542" t="s">
        <v>1566</v>
      </c>
      <c r="E542" s="556">
        <f ca="1">VLOOKUP(A542,Data!C:I,7,FALSE)</f>
        <v>0</v>
      </c>
      <c r="F542" s="636" t="str">
        <f t="shared" si="40"/>
        <v>ID.GV-42</v>
      </c>
      <c r="G542" s="636" t="str">
        <f t="shared" ca="1" si="41"/>
        <v>ID.GV-420</v>
      </c>
    </row>
    <row r="543" spans="1:7" x14ac:dyDescent="0.25">
      <c r="A543" t="s">
        <v>72</v>
      </c>
      <c r="B543" s="556">
        <v>2</v>
      </c>
      <c r="C543" t="s">
        <v>446</v>
      </c>
      <c r="D543" t="s">
        <v>1552</v>
      </c>
      <c r="E543" s="556">
        <f ca="1">VLOOKUP(A543,Data!C:I,7,FALSE)</f>
        <v>0</v>
      </c>
      <c r="F543" s="636" t="str">
        <f t="shared" si="40"/>
        <v>ID.RA-52</v>
      </c>
      <c r="G543" s="636" t="str">
        <f t="shared" ca="1" si="41"/>
        <v>ID.RA-520</v>
      </c>
    </row>
    <row r="544" spans="1:7" x14ac:dyDescent="0.25">
      <c r="A544" t="s">
        <v>72</v>
      </c>
      <c r="B544" s="556">
        <v>2</v>
      </c>
      <c r="C544" t="s">
        <v>446</v>
      </c>
      <c r="D544" t="s">
        <v>1567</v>
      </c>
      <c r="E544" s="556">
        <f ca="1">VLOOKUP(A544,Data!C:I,7,FALSE)</f>
        <v>0</v>
      </c>
      <c r="F544" s="636" t="str">
        <f t="shared" si="40"/>
        <v>ID.RM-12</v>
      </c>
      <c r="G544" s="636" t="str">
        <f t="shared" ca="1" si="41"/>
        <v>ID.RM-120</v>
      </c>
    </row>
    <row r="545" spans="1:7" x14ac:dyDescent="0.25">
      <c r="A545" t="s">
        <v>75</v>
      </c>
      <c r="B545" s="556">
        <v>2</v>
      </c>
      <c r="C545" t="s">
        <v>446</v>
      </c>
      <c r="D545" t="s">
        <v>1566</v>
      </c>
      <c r="E545" s="556">
        <f ca="1">VLOOKUP(A545,Data!C:I,7,FALSE)</f>
        <v>0</v>
      </c>
      <c r="F545" s="636" t="str">
        <f t="shared" si="40"/>
        <v>ID.GV-42</v>
      </c>
      <c r="G545" s="636" t="str">
        <f t="shared" ca="1" si="41"/>
        <v>ID.GV-420</v>
      </c>
    </row>
    <row r="546" spans="1:7" x14ac:dyDescent="0.25">
      <c r="A546" t="s">
        <v>75</v>
      </c>
      <c r="B546" s="556">
        <v>2</v>
      </c>
      <c r="C546" t="s">
        <v>446</v>
      </c>
      <c r="D546" t="s">
        <v>1552</v>
      </c>
      <c r="E546" s="556">
        <f ca="1">VLOOKUP(A546,Data!C:I,7,FALSE)</f>
        <v>0</v>
      </c>
      <c r="F546" s="636" t="str">
        <f t="shared" si="40"/>
        <v>ID.RA-52</v>
      </c>
      <c r="G546" s="636" t="str">
        <f t="shared" ca="1" si="41"/>
        <v>ID.RA-520</v>
      </c>
    </row>
    <row r="547" spans="1:7" x14ac:dyDescent="0.25">
      <c r="A547" t="s">
        <v>75</v>
      </c>
      <c r="B547" s="556">
        <v>2</v>
      </c>
      <c r="C547" t="s">
        <v>446</v>
      </c>
      <c r="D547" t="s">
        <v>1567</v>
      </c>
      <c r="E547" s="556">
        <f ca="1">VLOOKUP(A547,Data!C:I,7,FALSE)</f>
        <v>0</v>
      </c>
      <c r="F547" s="636" t="str">
        <f t="shared" si="40"/>
        <v>ID.RM-12</v>
      </c>
      <c r="G547" s="636" t="str">
        <f t="shared" ca="1" si="41"/>
        <v>ID.RM-120</v>
      </c>
    </row>
    <row r="548" spans="1:7" x14ac:dyDescent="0.25">
      <c r="A548" t="s">
        <v>78</v>
      </c>
      <c r="B548" s="556">
        <v>2</v>
      </c>
      <c r="C548" t="s">
        <v>446</v>
      </c>
      <c r="D548" t="s">
        <v>1566</v>
      </c>
      <c r="E548" s="556">
        <f ca="1">VLOOKUP(A548,Data!C:I,7,FALSE)</f>
        <v>0</v>
      </c>
      <c r="F548" s="636" t="str">
        <f t="shared" si="40"/>
        <v>ID.GV-42</v>
      </c>
      <c r="G548" s="636" t="str">
        <f t="shared" ca="1" si="41"/>
        <v>ID.GV-420</v>
      </c>
    </row>
    <row r="549" spans="1:7" x14ac:dyDescent="0.25">
      <c r="A549" t="s">
        <v>78</v>
      </c>
      <c r="B549" s="556">
        <v>2</v>
      </c>
      <c r="C549" t="s">
        <v>446</v>
      </c>
      <c r="D549" t="s">
        <v>1552</v>
      </c>
      <c r="E549" s="556">
        <f ca="1">VLOOKUP(A549,Data!C:I,7,FALSE)</f>
        <v>0</v>
      </c>
      <c r="F549" s="636" t="str">
        <f t="shared" si="40"/>
        <v>ID.RA-52</v>
      </c>
      <c r="G549" s="636" t="str">
        <f t="shared" ca="1" si="41"/>
        <v>ID.RA-520</v>
      </c>
    </row>
    <row r="550" spans="1:7" x14ac:dyDescent="0.25">
      <c r="A550" t="s">
        <v>78</v>
      </c>
      <c r="B550" s="556">
        <v>2</v>
      </c>
      <c r="C550" t="s">
        <v>446</v>
      </c>
      <c r="D550" t="s">
        <v>1567</v>
      </c>
      <c r="E550" s="556">
        <f ca="1">VLOOKUP(A550,Data!C:I,7,FALSE)</f>
        <v>0</v>
      </c>
      <c r="F550" s="636" t="str">
        <f t="shared" si="40"/>
        <v>ID.RM-12</v>
      </c>
      <c r="G550" s="636" t="str">
        <f t="shared" ca="1" si="41"/>
        <v>ID.RM-120</v>
      </c>
    </row>
    <row r="551" spans="1:7" x14ac:dyDescent="0.25">
      <c r="A551" t="s">
        <v>80</v>
      </c>
      <c r="B551" s="556">
        <v>2</v>
      </c>
      <c r="C551" t="s">
        <v>446</v>
      </c>
      <c r="D551" t="s">
        <v>1566</v>
      </c>
      <c r="E551" s="556">
        <f ca="1">VLOOKUP(A551,Data!C:I,7,FALSE)</f>
        <v>0</v>
      </c>
      <c r="F551" s="636" t="str">
        <f t="shared" si="40"/>
        <v>ID.GV-42</v>
      </c>
      <c r="G551" s="636" t="str">
        <f t="shared" ca="1" si="41"/>
        <v>ID.GV-420</v>
      </c>
    </row>
    <row r="552" spans="1:7" x14ac:dyDescent="0.25">
      <c r="A552" t="s">
        <v>80</v>
      </c>
      <c r="B552" s="556">
        <v>2</v>
      </c>
      <c r="C552" t="s">
        <v>446</v>
      </c>
      <c r="D552" t="s">
        <v>1552</v>
      </c>
      <c r="E552" s="556">
        <f ca="1">VLOOKUP(A552,Data!C:I,7,FALSE)</f>
        <v>0</v>
      </c>
      <c r="F552" s="636" t="str">
        <f t="shared" si="40"/>
        <v>ID.RA-52</v>
      </c>
      <c r="G552" s="636" t="str">
        <f t="shared" ca="1" si="41"/>
        <v>ID.RA-520</v>
      </c>
    </row>
    <row r="553" spans="1:7" x14ac:dyDescent="0.25">
      <c r="A553" t="s">
        <v>80</v>
      </c>
      <c r="B553" s="556">
        <v>2</v>
      </c>
      <c r="C553" t="s">
        <v>446</v>
      </c>
      <c r="D553" t="s">
        <v>1567</v>
      </c>
      <c r="E553" s="556">
        <f ca="1">VLOOKUP(A553,Data!C:I,7,FALSE)</f>
        <v>0</v>
      </c>
      <c r="F553" s="636" t="str">
        <f t="shared" si="40"/>
        <v>ID.RM-12</v>
      </c>
      <c r="G553" s="636" t="str">
        <f t="shared" ca="1" si="41"/>
        <v>ID.RM-120</v>
      </c>
    </row>
    <row r="554" spans="1:7" x14ac:dyDescent="0.25">
      <c r="A554" t="s">
        <v>82</v>
      </c>
      <c r="B554" s="556">
        <v>2</v>
      </c>
      <c r="C554" t="s">
        <v>446</v>
      </c>
      <c r="D554" t="s">
        <v>1566</v>
      </c>
      <c r="E554" s="556">
        <f ca="1">VLOOKUP(A554,Data!C:I,7,FALSE)</f>
        <v>0</v>
      </c>
      <c r="F554" s="636" t="str">
        <f t="shared" si="40"/>
        <v>ID.GV-42</v>
      </c>
      <c r="G554" s="636" t="str">
        <f t="shared" ca="1" si="41"/>
        <v>ID.GV-420</v>
      </c>
    </row>
    <row r="555" spans="1:7" x14ac:dyDescent="0.25">
      <c r="A555" t="s">
        <v>82</v>
      </c>
      <c r="B555" s="556">
        <v>2</v>
      </c>
      <c r="C555" t="s">
        <v>446</v>
      </c>
      <c r="D555" t="s">
        <v>1552</v>
      </c>
      <c r="E555" s="556">
        <f ca="1">VLOOKUP(A555,Data!C:I,7,FALSE)</f>
        <v>0</v>
      </c>
      <c r="F555" s="636" t="str">
        <f t="shared" si="40"/>
        <v>ID.RA-52</v>
      </c>
      <c r="G555" s="636" t="str">
        <f t="shared" ca="1" si="41"/>
        <v>ID.RA-520</v>
      </c>
    </row>
    <row r="556" spans="1:7" x14ac:dyDescent="0.25">
      <c r="A556" t="s">
        <v>82</v>
      </c>
      <c r="B556" s="556">
        <v>2</v>
      </c>
      <c r="C556" t="s">
        <v>446</v>
      </c>
      <c r="D556" t="s">
        <v>1567</v>
      </c>
      <c r="E556" s="556">
        <f ca="1">VLOOKUP(A556,Data!C:I,7,FALSE)</f>
        <v>0</v>
      </c>
      <c r="F556" s="636" t="str">
        <f t="shared" si="40"/>
        <v>ID.RM-12</v>
      </c>
      <c r="G556" s="636" t="str">
        <f t="shared" ca="1" si="41"/>
        <v>ID.RM-120</v>
      </c>
    </row>
    <row r="557" spans="1:7" x14ac:dyDescent="0.25">
      <c r="A557" t="s">
        <v>84</v>
      </c>
      <c r="B557" s="556">
        <v>3</v>
      </c>
      <c r="C557" t="s">
        <v>446</v>
      </c>
      <c r="D557" t="s">
        <v>1566</v>
      </c>
      <c r="E557" s="556">
        <f ca="1">VLOOKUP(A557,Data!C:I,7,FALSE)</f>
        <v>0</v>
      </c>
      <c r="F557" s="636" t="str">
        <f t="shared" si="40"/>
        <v>ID.GV-43</v>
      </c>
      <c r="G557" s="636" t="str">
        <f t="shared" ca="1" si="41"/>
        <v>ID.GV-430</v>
      </c>
    </row>
    <row r="558" spans="1:7" x14ac:dyDescent="0.25">
      <c r="A558" t="s">
        <v>84</v>
      </c>
      <c r="B558" s="556">
        <v>3</v>
      </c>
      <c r="C558" t="s">
        <v>446</v>
      </c>
      <c r="D558" t="s">
        <v>1552</v>
      </c>
      <c r="E558" s="556">
        <f ca="1">VLOOKUP(A558,Data!C:I,7,FALSE)</f>
        <v>0</v>
      </c>
      <c r="F558" s="636" t="str">
        <f t="shared" si="40"/>
        <v>ID.RA-53</v>
      </c>
      <c r="G558" s="636" t="str">
        <f t="shared" ca="1" si="41"/>
        <v>ID.RA-530</v>
      </c>
    </row>
    <row r="559" spans="1:7" x14ac:dyDescent="0.25">
      <c r="A559" t="s">
        <v>84</v>
      </c>
      <c r="B559" s="556">
        <v>3</v>
      </c>
      <c r="C559" t="s">
        <v>446</v>
      </c>
      <c r="D559" t="s">
        <v>1567</v>
      </c>
      <c r="E559" s="556">
        <f ca="1">VLOOKUP(A559,Data!C:I,7,FALSE)</f>
        <v>0</v>
      </c>
      <c r="F559" s="636" t="str">
        <f t="shared" si="40"/>
        <v>ID.RM-13</v>
      </c>
      <c r="G559" s="636" t="str">
        <f t="shared" ca="1" si="41"/>
        <v>ID.RM-130</v>
      </c>
    </row>
    <row r="560" spans="1:7" x14ac:dyDescent="0.25">
      <c r="A560" t="s">
        <v>953</v>
      </c>
      <c r="B560" s="556">
        <v>1</v>
      </c>
      <c r="C560" t="s">
        <v>446</v>
      </c>
      <c r="D560" t="s">
        <v>1566</v>
      </c>
      <c r="E560" s="556">
        <f ca="1">VLOOKUP(A560,Data!C:I,7,FALSE)</f>
        <v>0</v>
      </c>
      <c r="F560" s="636" t="str">
        <f t="shared" si="40"/>
        <v>ID.GV-41</v>
      </c>
      <c r="G560" s="636" t="str">
        <f t="shared" ca="1" si="41"/>
        <v>ID.GV-410</v>
      </c>
    </row>
    <row r="561" spans="1:7" x14ac:dyDescent="0.25">
      <c r="A561" t="s">
        <v>953</v>
      </c>
      <c r="B561" s="556">
        <v>1</v>
      </c>
      <c r="C561" t="s">
        <v>446</v>
      </c>
      <c r="D561" t="s">
        <v>1602</v>
      </c>
      <c r="E561" s="556">
        <f ca="1">VLOOKUP(A561,Data!C:I,7,FALSE)</f>
        <v>0</v>
      </c>
      <c r="F561" s="636" t="str">
        <f t="shared" si="40"/>
        <v>ID.RA-61</v>
      </c>
      <c r="G561" s="636" t="str">
        <f t="shared" ca="1" si="41"/>
        <v>ID.RA-610</v>
      </c>
    </row>
    <row r="562" spans="1:7" x14ac:dyDescent="0.25">
      <c r="A562" t="s">
        <v>953</v>
      </c>
      <c r="B562" s="556">
        <v>1</v>
      </c>
      <c r="C562" t="s">
        <v>446</v>
      </c>
      <c r="D562" t="s">
        <v>1567</v>
      </c>
      <c r="E562" s="556">
        <f ca="1">VLOOKUP(A562,Data!C:I,7,FALSE)</f>
        <v>0</v>
      </c>
      <c r="F562" s="636" t="str">
        <f t="shared" si="40"/>
        <v>ID.RM-11</v>
      </c>
      <c r="G562" s="636" t="str">
        <f t="shared" ca="1" si="41"/>
        <v>ID.RM-110</v>
      </c>
    </row>
    <row r="563" spans="1:7" x14ac:dyDescent="0.25">
      <c r="A563" t="s">
        <v>954</v>
      </c>
      <c r="B563" s="556">
        <v>2</v>
      </c>
      <c r="C563" t="s">
        <v>1502</v>
      </c>
      <c r="D563" t="s">
        <v>1603</v>
      </c>
      <c r="E563" s="556">
        <f ca="1">VLOOKUP(A563,Data!C:I,7,FALSE)</f>
        <v>0</v>
      </c>
      <c r="F563" s="636" t="str">
        <f t="shared" si="40"/>
        <v>DE.CM-82</v>
      </c>
      <c r="G563" s="636" t="str">
        <f t="shared" ca="1" si="41"/>
        <v>DE.CM-820</v>
      </c>
    </row>
    <row r="564" spans="1:7" x14ac:dyDescent="0.25">
      <c r="A564" t="s">
        <v>954</v>
      </c>
      <c r="B564" s="556">
        <v>2</v>
      </c>
      <c r="C564" t="s">
        <v>1502</v>
      </c>
      <c r="D564" t="s">
        <v>1580</v>
      </c>
      <c r="E564" s="556">
        <f ca="1">VLOOKUP(A564,Data!C:I,7,FALSE)</f>
        <v>0</v>
      </c>
      <c r="F564" s="636" t="str">
        <f t="shared" si="40"/>
        <v>DE.DP-22</v>
      </c>
      <c r="G564" s="636" t="str">
        <f t="shared" ca="1" si="41"/>
        <v>DE.DP-220</v>
      </c>
    </row>
    <row r="565" spans="1:7" x14ac:dyDescent="0.25">
      <c r="A565" t="s">
        <v>954</v>
      </c>
      <c r="B565" s="556">
        <v>2</v>
      </c>
      <c r="C565" t="s">
        <v>446</v>
      </c>
      <c r="D565" t="s">
        <v>1566</v>
      </c>
      <c r="E565" s="556">
        <f ca="1">VLOOKUP(A565,Data!C:I,7,FALSE)</f>
        <v>0</v>
      </c>
      <c r="F565" s="636" t="str">
        <f t="shared" si="40"/>
        <v>ID.GV-42</v>
      </c>
      <c r="G565" s="636" t="str">
        <f t="shared" ca="1" si="41"/>
        <v>ID.GV-420</v>
      </c>
    </row>
    <row r="566" spans="1:7" x14ac:dyDescent="0.25">
      <c r="A566" t="s">
        <v>954</v>
      </c>
      <c r="B566" s="556">
        <v>2</v>
      </c>
      <c r="C566" t="s">
        <v>446</v>
      </c>
      <c r="D566" t="s">
        <v>1602</v>
      </c>
      <c r="E566" s="556">
        <f ca="1">VLOOKUP(A566,Data!C:I,7,FALSE)</f>
        <v>0</v>
      </c>
      <c r="F566" s="636" t="str">
        <f t="shared" si="40"/>
        <v>ID.RA-62</v>
      </c>
      <c r="G566" s="636" t="str">
        <f t="shared" ca="1" si="41"/>
        <v>ID.RA-620</v>
      </c>
    </row>
    <row r="567" spans="1:7" x14ac:dyDescent="0.25">
      <c r="A567" t="s">
        <v>954</v>
      </c>
      <c r="B567" s="556">
        <v>2</v>
      </c>
      <c r="C567" t="s">
        <v>446</v>
      </c>
      <c r="D567" t="s">
        <v>1567</v>
      </c>
      <c r="E567" s="556">
        <f ca="1">VLOOKUP(A567,Data!C:I,7,FALSE)</f>
        <v>0</v>
      </c>
      <c r="F567" s="636" t="str">
        <f t="shared" si="40"/>
        <v>ID.RM-12</v>
      </c>
      <c r="G567" s="636" t="str">
        <f t="shared" ca="1" si="41"/>
        <v>ID.RM-120</v>
      </c>
    </row>
    <row r="568" spans="1:7" x14ac:dyDescent="0.25">
      <c r="A568" t="s">
        <v>954</v>
      </c>
      <c r="B568" s="556">
        <v>2</v>
      </c>
      <c r="C568" t="s">
        <v>1501</v>
      </c>
      <c r="D568" t="s">
        <v>1569</v>
      </c>
      <c r="E568" s="556">
        <f ca="1">VLOOKUP(A568,Data!C:I,7,FALSE)</f>
        <v>0</v>
      </c>
      <c r="F568" s="636" t="str">
        <f t="shared" si="40"/>
        <v>PR.IP-92</v>
      </c>
      <c r="G568" s="636" t="str">
        <f t="shared" ca="1" si="41"/>
        <v>PR.IP-920</v>
      </c>
    </row>
    <row r="569" spans="1:7" x14ac:dyDescent="0.25">
      <c r="A569" t="s">
        <v>955</v>
      </c>
      <c r="B569" s="556">
        <v>3</v>
      </c>
      <c r="C569" t="s">
        <v>1501</v>
      </c>
      <c r="D569" t="s">
        <v>1531</v>
      </c>
      <c r="E569" s="556">
        <f ca="1">VLOOKUP(A569,Data!C:I,7,FALSE)</f>
        <v>0</v>
      </c>
      <c r="F569" s="636" t="str">
        <f t="shared" si="40"/>
        <v>PR.IP-83</v>
      </c>
      <c r="G569" s="636" t="str">
        <f t="shared" ca="1" si="41"/>
        <v>PR.IP-830</v>
      </c>
    </row>
    <row r="570" spans="1:7" x14ac:dyDescent="0.25">
      <c r="A570" t="s">
        <v>956</v>
      </c>
      <c r="B570" s="556">
        <v>3</v>
      </c>
      <c r="C570" t="s">
        <v>446</v>
      </c>
      <c r="D570" t="s">
        <v>1566</v>
      </c>
      <c r="E570" s="556">
        <f ca="1">VLOOKUP(A570,Data!C:I,7,FALSE)</f>
        <v>0</v>
      </c>
      <c r="F570" s="636" t="str">
        <f t="shared" si="40"/>
        <v>ID.GV-43</v>
      </c>
      <c r="G570" s="636" t="str">
        <f t="shared" ca="1" si="41"/>
        <v>ID.GV-430</v>
      </c>
    </row>
    <row r="571" spans="1:7" x14ac:dyDescent="0.25">
      <c r="A571" t="s">
        <v>956</v>
      </c>
      <c r="B571" s="556">
        <v>3</v>
      </c>
      <c r="C571" t="s">
        <v>446</v>
      </c>
      <c r="D571" t="s">
        <v>1567</v>
      </c>
      <c r="E571" s="556">
        <f ca="1">VLOOKUP(A571,Data!C:I,7,FALSE)</f>
        <v>0</v>
      </c>
      <c r="F571" s="636" t="str">
        <f t="shared" si="40"/>
        <v>ID.RM-13</v>
      </c>
      <c r="G571" s="636" t="str">
        <f t="shared" ca="1" si="41"/>
        <v>ID.RM-130</v>
      </c>
    </row>
    <row r="572" spans="1:7" x14ac:dyDescent="0.25">
      <c r="A572" t="s">
        <v>956</v>
      </c>
      <c r="B572" s="556">
        <v>3</v>
      </c>
      <c r="C572" t="s">
        <v>446</v>
      </c>
      <c r="D572" t="s">
        <v>1604</v>
      </c>
      <c r="E572" s="556">
        <f ca="1">VLOOKUP(A572,Data!C:I,7,FALSE)</f>
        <v>0</v>
      </c>
      <c r="F572" s="636" t="str">
        <f t="shared" si="40"/>
        <v>ID.RM-23</v>
      </c>
      <c r="G572" s="636" t="str">
        <f t="shared" ca="1" si="41"/>
        <v>ID.RM-230</v>
      </c>
    </row>
    <row r="573" spans="1:7" x14ac:dyDescent="0.25">
      <c r="A573" t="s">
        <v>957</v>
      </c>
      <c r="B573" s="556">
        <v>3</v>
      </c>
      <c r="C573" t="s">
        <v>446</v>
      </c>
      <c r="D573" t="s">
        <v>1566</v>
      </c>
      <c r="E573" s="556">
        <f ca="1">VLOOKUP(A573,Data!C:I,7,FALSE)</f>
        <v>0</v>
      </c>
      <c r="F573" s="636" t="str">
        <f t="shared" si="40"/>
        <v>ID.GV-43</v>
      </c>
      <c r="G573" s="636" t="str">
        <f t="shared" ca="1" si="41"/>
        <v>ID.GV-430</v>
      </c>
    </row>
    <row r="574" spans="1:7" x14ac:dyDescent="0.25">
      <c r="A574" t="s">
        <v>957</v>
      </c>
      <c r="B574" s="556">
        <v>3</v>
      </c>
      <c r="C574" t="s">
        <v>446</v>
      </c>
      <c r="D574" t="s">
        <v>1602</v>
      </c>
      <c r="E574" s="556">
        <f ca="1">VLOOKUP(A574,Data!C:I,7,FALSE)</f>
        <v>0</v>
      </c>
      <c r="F574" s="636" t="str">
        <f t="shared" si="40"/>
        <v>ID.RA-63</v>
      </c>
      <c r="G574" s="636" t="str">
        <f t="shared" ca="1" si="41"/>
        <v>ID.RA-630</v>
      </c>
    </row>
    <row r="575" spans="1:7" x14ac:dyDescent="0.25">
      <c r="A575" t="s">
        <v>957</v>
      </c>
      <c r="B575" s="556">
        <v>3</v>
      </c>
      <c r="C575" t="s">
        <v>446</v>
      </c>
      <c r="D575" t="s">
        <v>1567</v>
      </c>
      <c r="E575" s="556">
        <f ca="1">VLOOKUP(A575,Data!C:I,7,FALSE)</f>
        <v>0</v>
      </c>
      <c r="F575" s="636" t="str">
        <f t="shared" si="40"/>
        <v>ID.RM-13</v>
      </c>
      <c r="G575" s="636" t="str">
        <f t="shared" ca="1" si="41"/>
        <v>ID.RM-130</v>
      </c>
    </row>
    <row r="576" spans="1:7" x14ac:dyDescent="0.25">
      <c r="A576" t="s">
        <v>958</v>
      </c>
      <c r="B576" s="556">
        <v>2</v>
      </c>
      <c r="C576" t="s">
        <v>446</v>
      </c>
      <c r="D576" t="s">
        <v>1567</v>
      </c>
      <c r="E576" s="556">
        <f ca="1">VLOOKUP(A576,Data!C:I,7,FALSE)</f>
        <v>0</v>
      </c>
      <c r="F576" s="636" t="str">
        <f t="shared" si="40"/>
        <v>ID.RM-12</v>
      </c>
      <c r="G576" s="636" t="str">
        <f t="shared" ca="1" si="41"/>
        <v>ID.RM-120</v>
      </c>
    </row>
    <row r="577" spans="1:7" x14ac:dyDescent="0.25">
      <c r="A577" t="s">
        <v>959</v>
      </c>
      <c r="B577" s="556">
        <v>2</v>
      </c>
      <c r="C577" t="s">
        <v>446</v>
      </c>
      <c r="D577" t="s">
        <v>1567</v>
      </c>
      <c r="E577" s="556">
        <f ca="1">VLOOKUP(A577,Data!C:I,7,FALSE)</f>
        <v>0</v>
      </c>
      <c r="F577" s="636" t="str">
        <f t="shared" si="40"/>
        <v>ID.RM-12</v>
      </c>
      <c r="G577" s="636" t="str">
        <f t="shared" ca="1" si="41"/>
        <v>ID.RM-120</v>
      </c>
    </row>
    <row r="578" spans="1:7" x14ac:dyDescent="0.25">
      <c r="A578" t="s">
        <v>960</v>
      </c>
      <c r="B578" s="556">
        <v>3</v>
      </c>
      <c r="C578" t="s">
        <v>446</v>
      </c>
      <c r="D578" t="s">
        <v>1562</v>
      </c>
      <c r="E578" s="556">
        <f ca="1">VLOOKUP(A578,Data!C:I,7,FALSE)</f>
        <v>0</v>
      </c>
      <c r="F578" s="636" t="str">
        <f t="shared" si="40"/>
        <v>ID.GV-13</v>
      </c>
      <c r="G578" s="636" t="str">
        <f t="shared" ca="1" si="41"/>
        <v>ID.GV-130</v>
      </c>
    </row>
    <row r="579" spans="1:7" x14ac:dyDescent="0.25">
      <c r="A579" t="s">
        <v>960</v>
      </c>
      <c r="B579" s="556">
        <v>3</v>
      </c>
      <c r="C579" t="s">
        <v>446</v>
      </c>
      <c r="D579" t="s">
        <v>1566</v>
      </c>
      <c r="E579" s="556">
        <f ca="1">VLOOKUP(A579,Data!C:I,7,FALSE)</f>
        <v>0</v>
      </c>
      <c r="F579" s="636" t="str">
        <f t="shared" ref="F579:F642" si="42">CONCATENATE($D579,$B579)</f>
        <v>ID.GV-43</v>
      </c>
      <c r="G579" s="636" t="str">
        <f t="shared" ref="G579:G642" ca="1" si="43">_xlfn.IFNA(CONCATENATE(F579,$E579),CONCATENATE(F579,$E579,0))</f>
        <v>ID.GV-430</v>
      </c>
    </row>
    <row r="580" spans="1:7" x14ac:dyDescent="0.25">
      <c r="A580" t="s">
        <v>961</v>
      </c>
      <c r="B580" s="556">
        <v>3</v>
      </c>
      <c r="C580" t="s">
        <v>446</v>
      </c>
      <c r="D580" t="s">
        <v>1567</v>
      </c>
      <c r="E580" s="556">
        <f ca="1">VLOOKUP(A580,Data!C:I,7,FALSE)</f>
        <v>0</v>
      </c>
      <c r="F580" s="636" t="str">
        <f t="shared" si="42"/>
        <v>ID.RM-13</v>
      </c>
      <c r="G580" s="636" t="str">
        <f t="shared" ca="1" si="43"/>
        <v>ID.RM-130</v>
      </c>
    </row>
    <row r="581" spans="1:7" x14ac:dyDescent="0.25">
      <c r="A581" t="s">
        <v>962</v>
      </c>
      <c r="B581" s="556">
        <v>3</v>
      </c>
      <c r="C581" t="s">
        <v>446</v>
      </c>
      <c r="D581" t="s">
        <v>1529</v>
      </c>
      <c r="E581" s="556">
        <f ca="1">VLOOKUP(A581,Data!C:I,7,FALSE)</f>
        <v>0</v>
      </c>
      <c r="F581" s="636" t="str">
        <f t="shared" si="42"/>
        <v>ID.AM-63</v>
      </c>
      <c r="G581" s="636" t="str">
        <f t="shared" ca="1" si="43"/>
        <v>ID.AM-630</v>
      </c>
    </row>
    <row r="582" spans="1:7" x14ac:dyDescent="0.25">
      <c r="A582" t="s">
        <v>962</v>
      </c>
      <c r="B582" s="556">
        <v>3</v>
      </c>
      <c r="C582" t="s">
        <v>446</v>
      </c>
      <c r="D582" t="s">
        <v>1530</v>
      </c>
      <c r="E582" s="556">
        <f ca="1">VLOOKUP(A582,Data!C:I,7,FALSE)</f>
        <v>0</v>
      </c>
      <c r="F582" s="636" t="str">
        <f t="shared" si="42"/>
        <v>ID.GV-23</v>
      </c>
      <c r="G582" s="636" t="str">
        <f t="shared" ca="1" si="43"/>
        <v>ID.GV-230</v>
      </c>
    </row>
    <row r="583" spans="1:7" x14ac:dyDescent="0.25">
      <c r="A583" t="s">
        <v>962</v>
      </c>
      <c r="B583" s="556">
        <v>3</v>
      </c>
      <c r="C583" t="s">
        <v>446</v>
      </c>
      <c r="D583" t="s">
        <v>1567</v>
      </c>
      <c r="E583" s="556">
        <f ca="1">VLOOKUP(A583,Data!C:I,7,FALSE)</f>
        <v>0</v>
      </c>
      <c r="F583" s="636" t="str">
        <f t="shared" si="42"/>
        <v>ID.RM-13</v>
      </c>
      <c r="G583" s="636" t="str">
        <f t="shared" ca="1" si="43"/>
        <v>ID.RM-130</v>
      </c>
    </row>
    <row r="584" spans="1:7" x14ac:dyDescent="0.25">
      <c r="A584" t="s">
        <v>963</v>
      </c>
      <c r="B584" s="556">
        <v>3</v>
      </c>
      <c r="C584" t="s">
        <v>1501</v>
      </c>
      <c r="D584" t="s">
        <v>1531</v>
      </c>
      <c r="E584" s="556">
        <f ca="1">VLOOKUP(A584,Data!C:I,7,FALSE)</f>
        <v>0</v>
      </c>
      <c r="F584" s="636" t="str">
        <f t="shared" si="42"/>
        <v>PR.IP-83</v>
      </c>
      <c r="G584" s="636" t="str">
        <f t="shared" ca="1" si="43"/>
        <v>PR.IP-830</v>
      </c>
    </row>
    <row r="585" spans="1:7" x14ac:dyDescent="0.25">
      <c r="A585" t="s">
        <v>211</v>
      </c>
      <c r="B585" s="556">
        <v>1</v>
      </c>
      <c r="C585" t="s">
        <v>1501</v>
      </c>
      <c r="D585" t="s">
        <v>1521</v>
      </c>
      <c r="E585" s="556">
        <f ca="1">VLOOKUP(A585,Data!C:I,7,FALSE)</f>
        <v>0</v>
      </c>
      <c r="F585" s="636" t="str">
        <f t="shared" si="42"/>
        <v>PR.MA-21</v>
      </c>
      <c r="G585" s="636" t="str">
        <f t="shared" ca="1" si="43"/>
        <v>PR.MA-210</v>
      </c>
    </row>
    <row r="586" spans="1:7" x14ac:dyDescent="0.25">
      <c r="A586" t="s">
        <v>211</v>
      </c>
      <c r="B586" s="556">
        <v>1</v>
      </c>
      <c r="C586" t="s">
        <v>1501</v>
      </c>
      <c r="D586" t="s">
        <v>1528</v>
      </c>
      <c r="E586" s="556">
        <f ca="1">VLOOKUP(A586,Data!C:I,7,FALSE)</f>
        <v>0</v>
      </c>
      <c r="F586" s="636" t="str">
        <f t="shared" si="42"/>
        <v>PR.PT-11</v>
      </c>
      <c r="G586" s="636" t="str">
        <f t="shared" ca="1" si="43"/>
        <v>PR.PT-110</v>
      </c>
    </row>
    <row r="587" spans="1:7" x14ac:dyDescent="0.25">
      <c r="A587" t="s">
        <v>212</v>
      </c>
      <c r="B587" s="556">
        <v>2</v>
      </c>
      <c r="C587" t="s">
        <v>1501</v>
      </c>
      <c r="D587" t="s">
        <v>1521</v>
      </c>
      <c r="E587" s="556">
        <f ca="1">VLOOKUP(A587,Data!C:I,7,FALSE)</f>
        <v>0</v>
      </c>
      <c r="F587" s="636" t="str">
        <f t="shared" si="42"/>
        <v>PR.MA-22</v>
      </c>
      <c r="G587" s="636" t="str">
        <f t="shared" ca="1" si="43"/>
        <v>PR.MA-220</v>
      </c>
    </row>
    <row r="588" spans="1:7" x14ac:dyDescent="0.25">
      <c r="A588" t="s">
        <v>212</v>
      </c>
      <c r="B588" s="556">
        <v>2</v>
      </c>
      <c r="C588" t="s">
        <v>1501</v>
      </c>
      <c r="D588" t="s">
        <v>1528</v>
      </c>
      <c r="E588" s="556">
        <f ca="1">VLOOKUP(A588,Data!C:I,7,FALSE)</f>
        <v>0</v>
      </c>
      <c r="F588" s="636" t="str">
        <f t="shared" si="42"/>
        <v>PR.PT-12</v>
      </c>
      <c r="G588" s="636" t="str">
        <f t="shared" ca="1" si="43"/>
        <v>PR.PT-120</v>
      </c>
    </row>
    <row r="589" spans="1:7" x14ac:dyDescent="0.25">
      <c r="A589" t="s">
        <v>213</v>
      </c>
      <c r="B589" s="556">
        <v>2</v>
      </c>
      <c r="C589" t="s">
        <v>1501</v>
      </c>
      <c r="D589" t="s">
        <v>1528</v>
      </c>
      <c r="E589" s="556">
        <f ca="1">VLOOKUP(A589,Data!C:I,7,FALSE)</f>
        <v>0</v>
      </c>
      <c r="F589" s="636" t="str">
        <f t="shared" si="42"/>
        <v>PR.PT-12</v>
      </c>
      <c r="G589" s="636" t="str">
        <f t="shared" ca="1" si="43"/>
        <v>PR.PT-120</v>
      </c>
    </row>
    <row r="590" spans="1:7" x14ac:dyDescent="0.25">
      <c r="A590" t="s">
        <v>214</v>
      </c>
      <c r="B590" s="556">
        <v>2</v>
      </c>
      <c r="C590" t="s">
        <v>1501</v>
      </c>
      <c r="D590" t="s">
        <v>1528</v>
      </c>
      <c r="E590" s="556">
        <f ca="1">VLOOKUP(A590,Data!C:I,7,FALSE)</f>
        <v>0</v>
      </c>
      <c r="F590" s="636" t="str">
        <f t="shared" si="42"/>
        <v>PR.PT-12</v>
      </c>
      <c r="G590" s="636" t="str">
        <f t="shared" ca="1" si="43"/>
        <v>PR.PT-120</v>
      </c>
    </row>
    <row r="591" spans="1:7" x14ac:dyDescent="0.25">
      <c r="A591" t="s">
        <v>973</v>
      </c>
      <c r="B591" s="556">
        <v>3</v>
      </c>
      <c r="C591" t="s">
        <v>1501</v>
      </c>
      <c r="D591" t="s">
        <v>1528</v>
      </c>
      <c r="E591" s="556">
        <f ca="1">VLOOKUP(A591,Data!C:I,7,FALSE)</f>
        <v>0</v>
      </c>
      <c r="F591" s="636" t="str">
        <f t="shared" si="42"/>
        <v>PR.PT-13</v>
      </c>
      <c r="G591" s="636" t="str">
        <f t="shared" ca="1" si="43"/>
        <v>PR.PT-130</v>
      </c>
    </row>
    <row r="592" spans="1:7" x14ac:dyDescent="0.25">
      <c r="A592" t="s">
        <v>215</v>
      </c>
      <c r="B592" s="556">
        <v>1</v>
      </c>
      <c r="C592" t="s">
        <v>1502</v>
      </c>
      <c r="D592" t="s">
        <v>1605</v>
      </c>
      <c r="E592" s="556">
        <f ca="1">VLOOKUP(A592,Data!C:I,7,FALSE)</f>
        <v>0</v>
      </c>
      <c r="F592" s="636" t="str">
        <f t="shared" si="42"/>
        <v>DE.AE-11</v>
      </c>
      <c r="G592" s="636" t="str">
        <f t="shared" ca="1" si="43"/>
        <v>DE.AE-110</v>
      </c>
    </row>
    <row r="593" spans="1:7" x14ac:dyDescent="0.25">
      <c r="A593" t="s">
        <v>215</v>
      </c>
      <c r="B593" s="556">
        <v>1</v>
      </c>
      <c r="C593" t="s">
        <v>1502</v>
      </c>
      <c r="D593" t="s">
        <v>1537</v>
      </c>
      <c r="E593" s="556">
        <f ca="1">VLOOKUP(A593,Data!C:I,7,FALSE)</f>
        <v>0</v>
      </c>
      <c r="F593" s="636" t="str">
        <f t="shared" si="42"/>
        <v>DE.CM-11</v>
      </c>
      <c r="G593" s="636" t="str">
        <f t="shared" ca="1" si="43"/>
        <v>DE.CM-110</v>
      </c>
    </row>
    <row r="594" spans="1:7" x14ac:dyDescent="0.25">
      <c r="A594" t="s">
        <v>215</v>
      </c>
      <c r="B594" s="556">
        <v>1</v>
      </c>
      <c r="C594" t="s">
        <v>1502</v>
      </c>
      <c r="D594" t="s">
        <v>1527</v>
      </c>
      <c r="E594" s="556">
        <f ca="1">VLOOKUP(A594,Data!C:I,7,FALSE)</f>
        <v>0</v>
      </c>
      <c r="F594" s="636" t="str">
        <f t="shared" si="42"/>
        <v>DE.CM-21</v>
      </c>
      <c r="G594" s="636" t="str">
        <f t="shared" ca="1" si="43"/>
        <v>DE.CM-210</v>
      </c>
    </row>
    <row r="595" spans="1:7" x14ac:dyDescent="0.25">
      <c r="A595" t="s">
        <v>215</v>
      </c>
      <c r="B595" s="556">
        <v>1</v>
      </c>
      <c r="C595" t="s">
        <v>1502</v>
      </c>
      <c r="D595" t="s">
        <v>1523</v>
      </c>
      <c r="E595" s="556">
        <f ca="1">VLOOKUP(A595,Data!C:I,7,FALSE)</f>
        <v>0</v>
      </c>
      <c r="F595" s="636" t="str">
        <f t="shared" si="42"/>
        <v>DE.CM-31</v>
      </c>
      <c r="G595" s="636" t="str">
        <f t="shared" ca="1" si="43"/>
        <v>DE.CM-310</v>
      </c>
    </row>
    <row r="596" spans="1:7" x14ac:dyDescent="0.25">
      <c r="A596" t="s">
        <v>215</v>
      </c>
      <c r="B596" s="556">
        <v>1</v>
      </c>
      <c r="C596" t="s">
        <v>1502</v>
      </c>
      <c r="D596" t="s">
        <v>1541</v>
      </c>
      <c r="E596" s="556">
        <f ca="1">VLOOKUP(A596,Data!C:I,7,FALSE)</f>
        <v>0</v>
      </c>
      <c r="F596" s="636" t="str">
        <f t="shared" si="42"/>
        <v>DE.CM-41</v>
      </c>
      <c r="G596" s="636" t="str">
        <f t="shared" ca="1" si="43"/>
        <v>DE.CM-410</v>
      </c>
    </row>
    <row r="597" spans="1:7" x14ac:dyDescent="0.25">
      <c r="A597" t="s">
        <v>215</v>
      </c>
      <c r="B597" s="556">
        <v>1</v>
      </c>
      <c r="C597" t="s">
        <v>1502</v>
      </c>
      <c r="D597" t="s">
        <v>1545</v>
      </c>
      <c r="E597" s="556">
        <f ca="1">VLOOKUP(A597,Data!C:I,7,FALSE)</f>
        <v>0</v>
      </c>
      <c r="F597" s="636" t="str">
        <f t="shared" si="42"/>
        <v>DE.CM-51</v>
      </c>
      <c r="G597" s="636" t="str">
        <f t="shared" ca="1" si="43"/>
        <v>DE.CM-510</v>
      </c>
    </row>
    <row r="598" spans="1:7" x14ac:dyDescent="0.25">
      <c r="A598" t="s">
        <v>215</v>
      </c>
      <c r="B598" s="556">
        <v>1</v>
      </c>
      <c r="C598" t="s">
        <v>1502</v>
      </c>
      <c r="D598" t="s">
        <v>1524</v>
      </c>
      <c r="E598" s="556">
        <f ca="1">VLOOKUP(A598,Data!C:I,7,FALSE)</f>
        <v>0</v>
      </c>
      <c r="F598" s="636" t="str">
        <f t="shared" si="42"/>
        <v>DE.CM-61</v>
      </c>
      <c r="G598" s="636" t="str">
        <f t="shared" ca="1" si="43"/>
        <v>DE.CM-610</v>
      </c>
    </row>
    <row r="599" spans="1:7" x14ac:dyDescent="0.25">
      <c r="A599" t="s">
        <v>215</v>
      </c>
      <c r="B599" s="556">
        <v>1</v>
      </c>
      <c r="C599" t="s">
        <v>1502</v>
      </c>
      <c r="D599" t="s">
        <v>1525</v>
      </c>
      <c r="E599" s="556">
        <f ca="1">VLOOKUP(A599,Data!C:I,7,FALSE)</f>
        <v>0</v>
      </c>
      <c r="F599" s="636" t="str">
        <f t="shared" si="42"/>
        <v>DE.CM-71</v>
      </c>
      <c r="G599" s="636" t="str">
        <f t="shared" ca="1" si="43"/>
        <v>DE.CM-710</v>
      </c>
    </row>
    <row r="600" spans="1:7" x14ac:dyDescent="0.25">
      <c r="A600" t="s">
        <v>215</v>
      </c>
      <c r="B600" s="556">
        <v>1</v>
      </c>
      <c r="C600" t="s">
        <v>1501</v>
      </c>
      <c r="D600" t="s">
        <v>1528</v>
      </c>
      <c r="E600" s="556">
        <f ca="1">VLOOKUP(A600,Data!C:I,7,FALSE)</f>
        <v>0</v>
      </c>
      <c r="F600" s="636" t="str">
        <f t="shared" si="42"/>
        <v>PR.PT-11</v>
      </c>
      <c r="G600" s="636" t="str">
        <f t="shared" ca="1" si="43"/>
        <v>PR.PT-110</v>
      </c>
    </row>
    <row r="601" spans="1:7" x14ac:dyDescent="0.25">
      <c r="A601" t="s">
        <v>216</v>
      </c>
      <c r="B601" s="556">
        <v>1</v>
      </c>
      <c r="C601" t="s">
        <v>1502</v>
      </c>
      <c r="D601" t="s">
        <v>1537</v>
      </c>
      <c r="E601" s="556">
        <f ca="1">VLOOKUP(A601,Data!C:I,7,FALSE)</f>
        <v>0</v>
      </c>
      <c r="F601" s="636" t="str">
        <f t="shared" si="42"/>
        <v>DE.CM-11</v>
      </c>
      <c r="G601" s="636" t="str">
        <f t="shared" ca="1" si="43"/>
        <v>DE.CM-110</v>
      </c>
    </row>
    <row r="602" spans="1:7" x14ac:dyDescent="0.25">
      <c r="A602" t="s">
        <v>216</v>
      </c>
      <c r="B602" s="556">
        <v>1</v>
      </c>
      <c r="C602" t="s">
        <v>1502</v>
      </c>
      <c r="D602" t="s">
        <v>1527</v>
      </c>
      <c r="E602" s="556">
        <f ca="1">VLOOKUP(A602,Data!C:I,7,FALSE)</f>
        <v>0</v>
      </c>
      <c r="F602" s="636" t="str">
        <f t="shared" si="42"/>
        <v>DE.CM-21</v>
      </c>
      <c r="G602" s="636" t="str">
        <f t="shared" ca="1" si="43"/>
        <v>DE.CM-210</v>
      </c>
    </row>
    <row r="603" spans="1:7" x14ac:dyDescent="0.25">
      <c r="A603" t="s">
        <v>216</v>
      </c>
      <c r="B603" s="556">
        <v>1</v>
      </c>
      <c r="C603" t="s">
        <v>1502</v>
      </c>
      <c r="D603" t="s">
        <v>1523</v>
      </c>
      <c r="E603" s="556">
        <f ca="1">VLOOKUP(A603,Data!C:I,7,FALSE)</f>
        <v>0</v>
      </c>
      <c r="F603" s="636" t="str">
        <f t="shared" si="42"/>
        <v>DE.CM-31</v>
      </c>
      <c r="G603" s="636" t="str">
        <f t="shared" ca="1" si="43"/>
        <v>DE.CM-310</v>
      </c>
    </row>
    <row r="604" spans="1:7" x14ac:dyDescent="0.25">
      <c r="A604" t="s">
        <v>216</v>
      </c>
      <c r="B604" s="556">
        <v>1</v>
      </c>
      <c r="C604" t="s">
        <v>1502</v>
      </c>
      <c r="D604" t="s">
        <v>1541</v>
      </c>
      <c r="E604" s="556">
        <f ca="1">VLOOKUP(A604,Data!C:I,7,FALSE)</f>
        <v>0</v>
      </c>
      <c r="F604" s="636" t="str">
        <f t="shared" si="42"/>
        <v>DE.CM-41</v>
      </c>
      <c r="G604" s="636" t="str">
        <f t="shared" ca="1" si="43"/>
        <v>DE.CM-410</v>
      </c>
    </row>
    <row r="605" spans="1:7" x14ac:dyDescent="0.25">
      <c r="A605" t="s">
        <v>216</v>
      </c>
      <c r="B605" s="556">
        <v>1</v>
      </c>
      <c r="C605" t="s">
        <v>1502</v>
      </c>
      <c r="D605" t="s">
        <v>1545</v>
      </c>
      <c r="E605" s="556">
        <f ca="1">VLOOKUP(A605,Data!C:I,7,FALSE)</f>
        <v>0</v>
      </c>
      <c r="F605" s="636" t="str">
        <f t="shared" si="42"/>
        <v>DE.CM-51</v>
      </c>
      <c r="G605" s="636" t="str">
        <f t="shared" ca="1" si="43"/>
        <v>DE.CM-510</v>
      </c>
    </row>
    <row r="606" spans="1:7" x14ac:dyDescent="0.25">
      <c r="A606" t="s">
        <v>216</v>
      </c>
      <c r="B606" s="556">
        <v>1</v>
      </c>
      <c r="C606" t="s">
        <v>1502</v>
      </c>
      <c r="D606" t="s">
        <v>1524</v>
      </c>
      <c r="E606" s="556">
        <f ca="1">VLOOKUP(A606,Data!C:I,7,FALSE)</f>
        <v>0</v>
      </c>
      <c r="F606" s="636" t="str">
        <f t="shared" si="42"/>
        <v>DE.CM-61</v>
      </c>
      <c r="G606" s="636" t="str">
        <f t="shared" ca="1" si="43"/>
        <v>DE.CM-610</v>
      </c>
    </row>
    <row r="607" spans="1:7" x14ac:dyDescent="0.25">
      <c r="A607" t="s">
        <v>216</v>
      </c>
      <c r="B607" s="556">
        <v>1</v>
      </c>
      <c r="C607" t="s">
        <v>1502</v>
      </c>
      <c r="D607" t="s">
        <v>1525</v>
      </c>
      <c r="E607" s="556">
        <f ca="1">VLOOKUP(A607,Data!C:I,7,FALSE)</f>
        <v>0</v>
      </c>
      <c r="F607" s="636" t="str">
        <f t="shared" si="42"/>
        <v>DE.CM-71</v>
      </c>
      <c r="G607" s="636" t="str">
        <f t="shared" ca="1" si="43"/>
        <v>DE.CM-710</v>
      </c>
    </row>
    <row r="608" spans="1:7" x14ac:dyDescent="0.25">
      <c r="A608" t="s">
        <v>217</v>
      </c>
      <c r="B608" s="556">
        <v>2</v>
      </c>
      <c r="C608" t="s">
        <v>1502</v>
      </c>
      <c r="D608" t="s">
        <v>1605</v>
      </c>
      <c r="E608" s="556">
        <f ca="1">VLOOKUP(A608,Data!C:I,7,FALSE)</f>
        <v>0</v>
      </c>
      <c r="F608" s="636" t="str">
        <f t="shared" si="42"/>
        <v>DE.AE-12</v>
      </c>
      <c r="G608" s="636" t="str">
        <f t="shared" ca="1" si="43"/>
        <v>DE.AE-120</v>
      </c>
    </row>
    <row r="609" spans="1:7" x14ac:dyDescent="0.25">
      <c r="A609" t="s">
        <v>217</v>
      </c>
      <c r="B609" s="556">
        <v>2</v>
      </c>
      <c r="C609" t="s">
        <v>1502</v>
      </c>
      <c r="D609" t="s">
        <v>1582</v>
      </c>
      <c r="E609" s="556">
        <f ca="1">VLOOKUP(A609,Data!C:I,7,FALSE)</f>
        <v>0</v>
      </c>
      <c r="F609" s="636" t="str">
        <f t="shared" si="42"/>
        <v>DE.AE-22</v>
      </c>
      <c r="G609" s="636" t="str">
        <f t="shared" ca="1" si="43"/>
        <v>DE.AE-220</v>
      </c>
    </row>
    <row r="610" spans="1:7" x14ac:dyDescent="0.25">
      <c r="A610" t="s">
        <v>217</v>
      </c>
      <c r="B610" s="556">
        <v>2</v>
      </c>
      <c r="C610" t="s">
        <v>1502</v>
      </c>
      <c r="D610" t="s">
        <v>1577</v>
      </c>
      <c r="E610" s="556">
        <f ca="1">VLOOKUP(A610,Data!C:I,7,FALSE)</f>
        <v>0</v>
      </c>
      <c r="F610" s="636" t="str">
        <f t="shared" si="42"/>
        <v>DE.AE-32</v>
      </c>
      <c r="G610" s="636" t="str">
        <f t="shared" ca="1" si="43"/>
        <v>DE.AE-320</v>
      </c>
    </row>
    <row r="611" spans="1:7" x14ac:dyDescent="0.25">
      <c r="A611" t="s">
        <v>218</v>
      </c>
      <c r="B611" s="556">
        <v>2</v>
      </c>
      <c r="C611" t="s">
        <v>1502</v>
      </c>
      <c r="D611" t="s">
        <v>1537</v>
      </c>
      <c r="E611" s="556">
        <f ca="1">VLOOKUP(A611,Data!C:I,7,FALSE)</f>
        <v>0</v>
      </c>
      <c r="F611" s="636" t="str">
        <f t="shared" si="42"/>
        <v>DE.CM-12</v>
      </c>
      <c r="G611" s="636" t="str">
        <f t="shared" ca="1" si="43"/>
        <v>DE.CM-120</v>
      </c>
    </row>
    <row r="612" spans="1:7" x14ac:dyDescent="0.25">
      <c r="A612" t="s">
        <v>218</v>
      </c>
      <c r="B612" s="556">
        <v>2</v>
      </c>
      <c r="C612" t="s">
        <v>1502</v>
      </c>
      <c r="D612" t="s">
        <v>1527</v>
      </c>
      <c r="E612" s="556">
        <f ca="1">VLOOKUP(A612,Data!C:I,7,FALSE)</f>
        <v>0</v>
      </c>
      <c r="F612" s="636" t="str">
        <f t="shared" si="42"/>
        <v>DE.CM-22</v>
      </c>
      <c r="G612" s="636" t="str">
        <f t="shared" ca="1" si="43"/>
        <v>DE.CM-220</v>
      </c>
    </row>
    <row r="613" spans="1:7" x14ac:dyDescent="0.25">
      <c r="A613" t="s">
        <v>218</v>
      </c>
      <c r="B613" s="556">
        <v>2</v>
      </c>
      <c r="C613" t="s">
        <v>1502</v>
      </c>
      <c r="D613" t="s">
        <v>1523</v>
      </c>
      <c r="E613" s="556">
        <f ca="1">VLOOKUP(A613,Data!C:I,7,FALSE)</f>
        <v>0</v>
      </c>
      <c r="F613" s="636" t="str">
        <f t="shared" si="42"/>
        <v>DE.CM-32</v>
      </c>
      <c r="G613" s="636" t="str">
        <f t="shared" ca="1" si="43"/>
        <v>DE.CM-320</v>
      </c>
    </row>
    <row r="614" spans="1:7" x14ac:dyDescent="0.25">
      <c r="A614" t="s">
        <v>218</v>
      </c>
      <c r="B614" s="556">
        <v>2</v>
      </c>
      <c r="C614" t="s">
        <v>1502</v>
      </c>
      <c r="D614" t="s">
        <v>1541</v>
      </c>
      <c r="E614" s="556">
        <f ca="1">VLOOKUP(A614,Data!C:I,7,FALSE)</f>
        <v>0</v>
      </c>
      <c r="F614" s="636" t="str">
        <f t="shared" si="42"/>
        <v>DE.CM-42</v>
      </c>
      <c r="G614" s="636" t="str">
        <f t="shared" ca="1" si="43"/>
        <v>DE.CM-420</v>
      </c>
    </row>
    <row r="615" spans="1:7" x14ac:dyDescent="0.25">
      <c r="A615" t="s">
        <v>218</v>
      </c>
      <c r="B615" s="556">
        <v>2</v>
      </c>
      <c r="C615" t="s">
        <v>1502</v>
      </c>
      <c r="D615" t="s">
        <v>1545</v>
      </c>
      <c r="E615" s="556">
        <f ca="1">VLOOKUP(A615,Data!C:I,7,FALSE)</f>
        <v>0</v>
      </c>
      <c r="F615" s="636" t="str">
        <f t="shared" si="42"/>
        <v>DE.CM-52</v>
      </c>
      <c r="G615" s="636" t="str">
        <f t="shared" ca="1" si="43"/>
        <v>DE.CM-520</v>
      </c>
    </row>
    <row r="616" spans="1:7" x14ac:dyDescent="0.25">
      <c r="A616" t="s">
        <v>218</v>
      </c>
      <c r="B616" s="556">
        <v>2</v>
      </c>
      <c r="C616" t="s">
        <v>1502</v>
      </c>
      <c r="D616" t="s">
        <v>1524</v>
      </c>
      <c r="E616" s="556">
        <f ca="1">VLOOKUP(A616,Data!C:I,7,FALSE)</f>
        <v>0</v>
      </c>
      <c r="F616" s="636" t="str">
        <f t="shared" si="42"/>
        <v>DE.CM-62</v>
      </c>
      <c r="G616" s="636" t="str">
        <f t="shared" ca="1" si="43"/>
        <v>DE.CM-620</v>
      </c>
    </row>
    <row r="617" spans="1:7" x14ac:dyDescent="0.25">
      <c r="A617" t="s">
        <v>218</v>
      </c>
      <c r="B617" s="556">
        <v>2</v>
      </c>
      <c r="C617" t="s">
        <v>1502</v>
      </c>
      <c r="D617" t="s">
        <v>1525</v>
      </c>
      <c r="E617" s="556">
        <f ca="1">VLOOKUP(A617,Data!C:I,7,FALSE)</f>
        <v>0</v>
      </c>
      <c r="F617" s="636" t="str">
        <f t="shared" si="42"/>
        <v>DE.CM-72</v>
      </c>
      <c r="G617" s="636" t="str">
        <f t="shared" ca="1" si="43"/>
        <v>DE.CM-720</v>
      </c>
    </row>
    <row r="618" spans="1:7" x14ac:dyDescent="0.25">
      <c r="A618" t="s">
        <v>218</v>
      </c>
      <c r="B618" s="556">
        <v>2</v>
      </c>
      <c r="C618" t="s">
        <v>1501</v>
      </c>
      <c r="D618" t="s">
        <v>1538</v>
      </c>
      <c r="E618" s="556">
        <f ca="1">VLOOKUP(A618,Data!C:I,7,FALSE)</f>
        <v>0</v>
      </c>
      <c r="F618" s="636" t="str">
        <f t="shared" si="42"/>
        <v>PR.DS-62</v>
      </c>
      <c r="G618" s="636" t="str">
        <f t="shared" ca="1" si="43"/>
        <v>PR.DS-620</v>
      </c>
    </row>
    <row r="619" spans="1:7" x14ac:dyDescent="0.25">
      <c r="A619" t="s">
        <v>218</v>
      </c>
      <c r="B619" s="556">
        <v>2</v>
      </c>
      <c r="C619" t="s">
        <v>1501</v>
      </c>
      <c r="D619" t="s">
        <v>1528</v>
      </c>
      <c r="E619" s="556">
        <f ca="1">VLOOKUP(A619,Data!C:I,7,FALSE)</f>
        <v>0</v>
      </c>
      <c r="F619" s="636" t="str">
        <f t="shared" si="42"/>
        <v>PR.PT-12</v>
      </c>
      <c r="G619" s="636" t="str">
        <f t="shared" ca="1" si="43"/>
        <v>PR.PT-120</v>
      </c>
    </row>
    <row r="620" spans="1:7" x14ac:dyDescent="0.25">
      <c r="A620" t="s">
        <v>219</v>
      </c>
      <c r="B620" s="556">
        <v>2</v>
      </c>
      <c r="C620" t="s">
        <v>1502</v>
      </c>
      <c r="D620" t="s">
        <v>1584</v>
      </c>
      <c r="E620" s="556">
        <f ca="1">VLOOKUP(A620,Data!C:I,7,FALSE)</f>
        <v>0</v>
      </c>
      <c r="F620" s="636" t="str">
        <f t="shared" si="42"/>
        <v>DE.AE-52</v>
      </c>
      <c r="G620" s="636" t="str">
        <f t="shared" ca="1" si="43"/>
        <v>DE.AE-520</v>
      </c>
    </row>
    <row r="621" spans="1:7" x14ac:dyDescent="0.25">
      <c r="A621" t="s">
        <v>220</v>
      </c>
      <c r="B621" s="556">
        <v>2</v>
      </c>
      <c r="C621" t="s">
        <v>1502</v>
      </c>
      <c r="D621" t="s">
        <v>1537</v>
      </c>
      <c r="E621" s="556">
        <f ca="1">VLOOKUP(A621,Data!C:I,7,FALSE)</f>
        <v>0</v>
      </c>
      <c r="F621" s="636" t="str">
        <f t="shared" si="42"/>
        <v>DE.CM-12</v>
      </c>
      <c r="G621" s="636" t="str">
        <f t="shared" ca="1" si="43"/>
        <v>DE.CM-120</v>
      </c>
    </row>
    <row r="622" spans="1:7" x14ac:dyDescent="0.25">
      <c r="A622" t="s">
        <v>220</v>
      </c>
      <c r="B622" s="556">
        <v>2</v>
      </c>
      <c r="C622" t="s">
        <v>1502</v>
      </c>
      <c r="D622" t="s">
        <v>1527</v>
      </c>
      <c r="E622" s="556">
        <f ca="1">VLOOKUP(A622,Data!C:I,7,FALSE)</f>
        <v>0</v>
      </c>
      <c r="F622" s="636" t="str">
        <f t="shared" si="42"/>
        <v>DE.CM-22</v>
      </c>
      <c r="G622" s="636" t="str">
        <f t="shared" ca="1" si="43"/>
        <v>DE.CM-220</v>
      </c>
    </row>
    <row r="623" spans="1:7" x14ac:dyDescent="0.25">
      <c r="A623" t="s">
        <v>220</v>
      </c>
      <c r="B623" s="556">
        <v>2</v>
      </c>
      <c r="C623" t="s">
        <v>1502</v>
      </c>
      <c r="D623" t="s">
        <v>1523</v>
      </c>
      <c r="E623" s="556">
        <f ca="1">VLOOKUP(A623,Data!C:I,7,FALSE)</f>
        <v>0</v>
      </c>
      <c r="F623" s="636" t="str">
        <f t="shared" si="42"/>
        <v>DE.CM-32</v>
      </c>
      <c r="G623" s="636" t="str">
        <f t="shared" ca="1" si="43"/>
        <v>DE.CM-320</v>
      </c>
    </row>
    <row r="624" spans="1:7" x14ac:dyDescent="0.25">
      <c r="A624" t="s">
        <v>220</v>
      </c>
      <c r="B624" s="556">
        <v>2</v>
      </c>
      <c r="C624" t="s">
        <v>1502</v>
      </c>
      <c r="D624" t="s">
        <v>1524</v>
      </c>
      <c r="E624" s="556">
        <f ca="1">VLOOKUP(A624,Data!C:I,7,FALSE)</f>
        <v>0</v>
      </c>
      <c r="F624" s="636" t="str">
        <f t="shared" si="42"/>
        <v>DE.CM-62</v>
      </c>
      <c r="G624" s="636" t="str">
        <f t="shared" ca="1" si="43"/>
        <v>DE.CM-620</v>
      </c>
    </row>
    <row r="625" spans="1:7" x14ac:dyDescent="0.25">
      <c r="A625" t="s">
        <v>220</v>
      </c>
      <c r="B625" s="556">
        <v>2</v>
      </c>
      <c r="C625" t="s">
        <v>1502</v>
      </c>
      <c r="D625" t="s">
        <v>1525</v>
      </c>
      <c r="E625" s="556">
        <f ca="1">VLOOKUP(A625,Data!C:I,7,FALSE)</f>
        <v>0</v>
      </c>
      <c r="F625" s="636" t="str">
        <f t="shared" si="42"/>
        <v>DE.CM-72</v>
      </c>
      <c r="G625" s="636" t="str">
        <f t="shared" ca="1" si="43"/>
        <v>DE.CM-720</v>
      </c>
    </row>
    <row r="626" spans="1:7" x14ac:dyDescent="0.25">
      <c r="A626" t="s">
        <v>221</v>
      </c>
      <c r="B626" s="556">
        <v>3</v>
      </c>
      <c r="C626" t="s">
        <v>1502</v>
      </c>
      <c r="D626" t="s">
        <v>1537</v>
      </c>
      <c r="E626" s="556">
        <f ca="1">VLOOKUP(A626,Data!C:I,7,FALSE)</f>
        <v>0</v>
      </c>
      <c r="F626" s="636" t="str">
        <f t="shared" si="42"/>
        <v>DE.CM-13</v>
      </c>
      <c r="G626" s="636" t="str">
        <f t="shared" ca="1" si="43"/>
        <v>DE.CM-130</v>
      </c>
    </row>
    <row r="627" spans="1:7" x14ac:dyDescent="0.25">
      <c r="A627" t="s">
        <v>221</v>
      </c>
      <c r="B627" s="556">
        <v>3</v>
      </c>
      <c r="C627" t="s">
        <v>1502</v>
      </c>
      <c r="D627" t="s">
        <v>1527</v>
      </c>
      <c r="E627" s="556">
        <f ca="1">VLOOKUP(A627,Data!C:I,7,FALSE)</f>
        <v>0</v>
      </c>
      <c r="F627" s="636" t="str">
        <f t="shared" si="42"/>
        <v>DE.CM-23</v>
      </c>
      <c r="G627" s="636" t="str">
        <f t="shared" ca="1" si="43"/>
        <v>DE.CM-230</v>
      </c>
    </row>
    <row r="628" spans="1:7" x14ac:dyDescent="0.25">
      <c r="A628" t="s">
        <v>221</v>
      </c>
      <c r="B628" s="556">
        <v>3</v>
      </c>
      <c r="C628" t="s">
        <v>1502</v>
      </c>
      <c r="D628" t="s">
        <v>1523</v>
      </c>
      <c r="E628" s="556">
        <f ca="1">VLOOKUP(A628,Data!C:I,7,FALSE)</f>
        <v>0</v>
      </c>
      <c r="F628" s="636" t="str">
        <f t="shared" si="42"/>
        <v>DE.CM-33</v>
      </c>
      <c r="G628" s="636" t="str">
        <f t="shared" ca="1" si="43"/>
        <v>DE.CM-330</v>
      </c>
    </row>
    <row r="629" spans="1:7" x14ac:dyDescent="0.25">
      <c r="A629" t="s">
        <v>221</v>
      </c>
      <c r="B629" s="556">
        <v>3</v>
      </c>
      <c r="C629" t="s">
        <v>1502</v>
      </c>
      <c r="D629" t="s">
        <v>1524</v>
      </c>
      <c r="E629" s="556">
        <f ca="1">VLOOKUP(A629,Data!C:I,7,FALSE)</f>
        <v>0</v>
      </c>
      <c r="F629" s="636" t="str">
        <f t="shared" si="42"/>
        <v>DE.CM-63</v>
      </c>
      <c r="G629" s="636" t="str">
        <f t="shared" ca="1" si="43"/>
        <v>DE.CM-630</v>
      </c>
    </row>
    <row r="630" spans="1:7" x14ac:dyDescent="0.25">
      <c r="A630" t="s">
        <v>221</v>
      </c>
      <c r="B630" s="556">
        <v>3</v>
      </c>
      <c r="C630" t="s">
        <v>1502</v>
      </c>
      <c r="D630" t="s">
        <v>1525</v>
      </c>
      <c r="E630" s="556">
        <f ca="1">VLOOKUP(A630,Data!C:I,7,FALSE)</f>
        <v>0</v>
      </c>
      <c r="F630" s="636" t="str">
        <f t="shared" si="42"/>
        <v>DE.CM-73</v>
      </c>
      <c r="G630" s="636" t="str">
        <f t="shared" ca="1" si="43"/>
        <v>DE.CM-730</v>
      </c>
    </row>
    <row r="631" spans="1:7" x14ac:dyDescent="0.25">
      <c r="A631" t="s">
        <v>222</v>
      </c>
      <c r="B631" s="556">
        <v>3</v>
      </c>
      <c r="C631" t="s">
        <v>1502</v>
      </c>
      <c r="D631" t="s">
        <v>1537</v>
      </c>
      <c r="E631" s="556">
        <f ca="1">VLOOKUP(A631,Data!C:I,7,FALSE)</f>
        <v>0</v>
      </c>
      <c r="F631" s="636" t="str">
        <f t="shared" si="42"/>
        <v>DE.CM-13</v>
      </c>
      <c r="G631" s="636" t="str">
        <f t="shared" ca="1" si="43"/>
        <v>DE.CM-130</v>
      </c>
    </row>
    <row r="632" spans="1:7" x14ac:dyDescent="0.25">
      <c r="A632" t="s">
        <v>222</v>
      </c>
      <c r="B632" s="556">
        <v>3</v>
      </c>
      <c r="C632" t="s">
        <v>1502</v>
      </c>
      <c r="D632" t="s">
        <v>1527</v>
      </c>
      <c r="E632" s="556">
        <f ca="1">VLOOKUP(A632,Data!C:I,7,FALSE)</f>
        <v>0</v>
      </c>
      <c r="F632" s="636" t="str">
        <f t="shared" si="42"/>
        <v>DE.CM-23</v>
      </c>
      <c r="G632" s="636" t="str">
        <f t="shared" ca="1" si="43"/>
        <v>DE.CM-230</v>
      </c>
    </row>
    <row r="633" spans="1:7" x14ac:dyDescent="0.25">
      <c r="A633" t="s">
        <v>222</v>
      </c>
      <c r="B633" s="556">
        <v>3</v>
      </c>
      <c r="C633" t="s">
        <v>1502</v>
      </c>
      <c r="D633" t="s">
        <v>1523</v>
      </c>
      <c r="E633" s="556">
        <f ca="1">VLOOKUP(A633,Data!C:I,7,FALSE)</f>
        <v>0</v>
      </c>
      <c r="F633" s="636" t="str">
        <f t="shared" si="42"/>
        <v>DE.CM-33</v>
      </c>
      <c r="G633" s="636" t="str">
        <f t="shared" ca="1" si="43"/>
        <v>DE.CM-330</v>
      </c>
    </row>
    <row r="634" spans="1:7" x14ac:dyDescent="0.25">
      <c r="A634" t="s">
        <v>222</v>
      </c>
      <c r="B634" s="556">
        <v>3</v>
      </c>
      <c r="C634" t="s">
        <v>1502</v>
      </c>
      <c r="D634" t="s">
        <v>1541</v>
      </c>
      <c r="E634" s="556">
        <f ca="1">VLOOKUP(A634,Data!C:I,7,FALSE)</f>
        <v>0</v>
      </c>
      <c r="F634" s="636" t="str">
        <f t="shared" si="42"/>
        <v>DE.CM-43</v>
      </c>
      <c r="G634" s="636" t="str">
        <f t="shared" ca="1" si="43"/>
        <v>DE.CM-430</v>
      </c>
    </row>
    <row r="635" spans="1:7" x14ac:dyDescent="0.25">
      <c r="A635" t="s">
        <v>222</v>
      </c>
      <c r="B635" s="556">
        <v>3</v>
      </c>
      <c r="C635" t="s">
        <v>1502</v>
      </c>
      <c r="D635" t="s">
        <v>1545</v>
      </c>
      <c r="E635" s="556">
        <f ca="1">VLOOKUP(A635,Data!C:I,7,FALSE)</f>
        <v>0</v>
      </c>
      <c r="F635" s="636" t="str">
        <f t="shared" si="42"/>
        <v>DE.CM-53</v>
      </c>
      <c r="G635" s="636" t="str">
        <f t="shared" ca="1" si="43"/>
        <v>DE.CM-530</v>
      </c>
    </row>
    <row r="636" spans="1:7" x14ac:dyDescent="0.25">
      <c r="A636" t="s">
        <v>222</v>
      </c>
      <c r="B636" s="556">
        <v>3</v>
      </c>
      <c r="C636" t="s">
        <v>1502</v>
      </c>
      <c r="D636" t="s">
        <v>1524</v>
      </c>
      <c r="E636" s="556">
        <f ca="1">VLOOKUP(A636,Data!C:I,7,FALSE)</f>
        <v>0</v>
      </c>
      <c r="F636" s="636" t="str">
        <f t="shared" si="42"/>
        <v>DE.CM-63</v>
      </c>
      <c r="G636" s="636" t="str">
        <f t="shared" ca="1" si="43"/>
        <v>DE.CM-630</v>
      </c>
    </row>
    <row r="637" spans="1:7" x14ac:dyDescent="0.25">
      <c r="A637" t="s">
        <v>222</v>
      </c>
      <c r="B637" s="556">
        <v>3</v>
      </c>
      <c r="C637" t="s">
        <v>1502</v>
      </c>
      <c r="D637" t="s">
        <v>1525</v>
      </c>
      <c r="E637" s="556">
        <f ca="1">VLOOKUP(A637,Data!C:I,7,FALSE)</f>
        <v>0</v>
      </c>
      <c r="F637" s="636" t="str">
        <f t="shared" si="42"/>
        <v>DE.CM-73</v>
      </c>
      <c r="G637" s="636" t="str">
        <f t="shared" ca="1" si="43"/>
        <v>DE.CM-730</v>
      </c>
    </row>
    <row r="638" spans="1:7" x14ac:dyDescent="0.25">
      <c r="A638" t="s">
        <v>222</v>
      </c>
      <c r="B638" s="556">
        <v>3</v>
      </c>
      <c r="C638" t="s">
        <v>1501</v>
      </c>
      <c r="D638" t="s">
        <v>1538</v>
      </c>
      <c r="E638" s="556">
        <f ca="1">VLOOKUP(A638,Data!C:I,7,FALSE)</f>
        <v>0</v>
      </c>
      <c r="F638" s="636" t="str">
        <f t="shared" si="42"/>
        <v>PR.DS-63</v>
      </c>
      <c r="G638" s="636" t="str">
        <f t="shared" ca="1" si="43"/>
        <v>PR.DS-630</v>
      </c>
    </row>
    <row r="639" spans="1:7" x14ac:dyDescent="0.25">
      <c r="A639" t="s">
        <v>223</v>
      </c>
      <c r="B639" s="556">
        <v>3</v>
      </c>
      <c r="C639" t="s">
        <v>1502</v>
      </c>
      <c r="D639" t="s">
        <v>1584</v>
      </c>
      <c r="E639" s="556">
        <f ca="1">VLOOKUP(A639,Data!C:I,7,FALSE)</f>
        <v>0</v>
      </c>
      <c r="F639" s="636" t="str">
        <f t="shared" si="42"/>
        <v>DE.AE-53</v>
      </c>
      <c r="G639" s="636" t="str">
        <f t="shared" ca="1" si="43"/>
        <v>DE.AE-530</v>
      </c>
    </row>
    <row r="640" spans="1:7" x14ac:dyDescent="0.25">
      <c r="A640" t="s">
        <v>224</v>
      </c>
      <c r="B640" s="556">
        <v>3</v>
      </c>
      <c r="C640" t="s">
        <v>1502</v>
      </c>
      <c r="D640" t="s">
        <v>1584</v>
      </c>
      <c r="E640" s="556" t="e">
        <f>VLOOKUP(A640,Data!C:I,7,FALSE)</f>
        <v>#N/A</v>
      </c>
      <c r="F640" s="636" t="str">
        <f t="shared" si="42"/>
        <v>DE.AE-53</v>
      </c>
      <c r="G640" s="636" t="e">
        <f t="shared" si="43"/>
        <v>#N/A</v>
      </c>
    </row>
    <row r="641" spans="1:7" x14ac:dyDescent="0.25">
      <c r="A641" t="s">
        <v>224</v>
      </c>
      <c r="B641" s="556">
        <v>3</v>
      </c>
      <c r="C641" t="s">
        <v>1502</v>
      </c>
      <c r="D641" t="s">
        <v>1537</v>
      </c>
      <c r="E641" s="556" t="e">
        <f>VLOOKUP(A641,Data!C:I,7,FALSE)</f>
        <v>#N/A</v>
      </c>
      <c r="F641" s="636" t="str">
        <f t="shared" si="42"/>
        <v>DE.CM-13</v>
      </c>
      <c r="G641" s="636" t="e">
        <f t="shared" si="43"/>
        <v>#N/A</v>
      </c>
    </row>
    <row r="642" spans="1:7" x14ac:dyDescent="0.25">
      <c r="A642" t="s">
        <v>224</v>
      </c>
      <c r="B642" s="556">
        <v>3</v>
      </c>
      <c r="C642" t="s">
        <v>1502</v>
      </c>
      <c r="D642" t="s">
        <v>1527</v>
      </c>
      <c r="E642" s="556" t="e">
        <f>VLOOKUP(A642,Data!C:I,7,FALSE)</f>
        <v>#N/A</v>
      </c>
      <c r="F642" s="636" t="str">
        <f t="shared" si="42"/>
        <v>DE.CM-23</v>
      </c>
      <c r="G642" s="636" t="e">
        <f t="shared" si="43"/>
        <v>#N/A</v>
      </c>
    </row>
    <row r="643" spans="1:7" x14ac:dyDescent="0.25">
      <c r="A643" t="s">
        <v>224</v>
      </c>
      <c r="B643" s="556">
        <v>3</v>
      </c>
      <c r="C643" t="s">
        <v>1502</v>
      </c>
      <c r="D643" t="s">
        <v>1523</v>
      </c>
      <c r="E643" s="556" t="e">
        <f>VLOOKUP(A643,Data!C:I,7,FALSE)</f>
        <v>#N/A</v>
      </c>
      <c r="F643" s="636" t="str">
        <f t="shared" ref="F643:F706" si="44">CONCATENATE($D643,$B643)</f>
        <v>DE.CM-33</v>
      </c>
      <c r="G643" s="636" t="e">
        <f t="shared" ref="G643:G706" si="45">_xlfn.IFNA(CONCATENATE(F643,$E643),CONCATENATE(F643,$E643,0))</f>
        <v>#N/A</v>
      </c>
    </row>
    <row r="644" spans="1:7" x14ac:dyDescent="0.25">
      <c r="A644" t="s">
        <v>224</v>
      </c>
      <c r="B644" s="556">
        <v>3</v>
      </c>
      <c r="C644" t="s">
        <v>1502</v>
      </c>
      <c r="D644" t="s">
        <v>1541</v>
      </c>
      <c r="E644" s="556" t="e">
        <f>VLOOKUP(A644,Data!C:I,7,FALSE)</f>
        <v>#N/A</v>
      </c>
      <c r="F644" s="636" t="str">
        <f t="shared" si="44"/>
        <v>DE.CM-43</v>
      </c>
      <c r="G644" s="636" t="e">
        <f t="shared" si="45"/>
        <v>#N/A</v>
      </c>
    </row>
    <row r="645" spans="1:7" x14ac:dyDescent="0.25">
      <c r="A645" t="s">
        <v>224</v>
      </c>
      <c r="B645" s="556">
        <v>3</v>
      </c>
      <c r="C645" t="s">
        <v>1502</v>
      </c>
      <c r="D645" t="s">
        <v>1545</v>
      </c>
      <c r="E645" s="556" t="e">
        <f>VLOOKUP(A645,Data!C:I,7,FALSE)</f>
        <v>#N/A</v>
      </c>
      <c r="F645" s="636" t="str">
        <f t="shared" si="44"/>
        <v>DE.CM-53</v>
      </c>
      <c r="G645" s="636" t="e">
        <f t="shared" si="45"/>
        <v>#N/A</v>
      </c>
    </row>
    <row r="646" spans="1:7" x14ac:dyDescent="0.25">
      <c r="A646" t="s">
        <v>224</v>
      </c>
      <c r="B646" s="556">
        <v>3</v>
      </c>
      <c r="C646" t="s">
        <v>1502</v>
      </c>
      <c r="D646" t="s">
        <v>1524</v>
      </c>
      <c r="E646" s="556" t="e">
        <f>VLOOKUP(A646,Data!C:I,7,FALSE)</f>
        <v>#N/A</v>
      </c>
      <c r="F646" s="636" t="str">
        <f t="shared" si="44"/>
        <v>DE.CM-63</v>
      </c>
      <c r="G646" s="636" t="e">
        <f t="shared" si="45"/>
        <v>#N/A</v>
      </c>
    </row>
    <row r="647" spans="1:7" x14ac:dyDescent="0.25">
      <c r="A647" t="s">
        <v>224</v>
      </c>
      <c r="B647" s="556">
        <v>3</v>
      </c>
      <c r="C647" t="s">
        <v>1502</v>
      </c>
      <c r="D647" t="s">
        <v>1525</v>
      </c>
      <c r="E647" s="556" t="e">
        <f>VLOOKUP(A647,Data!C:I,7,FALSE)</f>
        <v>#N/A</v>
      </c>
      <c r="F647" s="636" t="str">
        <f t="shared" si="44"/>
        <v>DE.CM-73</v>
      </c>
      <c r="G647" s="636" t="e">
        <f t="shared" si="45"/>
        <v>#N/A</v>
      </c>
    </row>
    <row r="648" spans="1:7" x14ac:dyDescent="0.25">
      <c r="A648" t="s">
        <v>226</v>
      </c>
      <c r="B648" s="556">
        <v>2</v>
      </c>
      <c r="C648" t="s">
        <v>1502</v>
      </c>
      <c r="D648" t="s">
        <v>1577</v>
      </c>
      <c r="E648" s="556">
        <f ca="1">VLOOKUP(A648,Data!C:I,7,FALSE)</f>
        <v>0</v>
      </c>
      <c r="F648" s="636" t="str">
        <f t="shared" si="44"/>
        <v>DE.AE-32</v>
      </c>
      <c r="G648" s="636" t="str">
        <f t="shared" ca="1" si="45"/>
        <v>DE.AE-320</v>
      </c>
    </row>
    <row r="649" spans="1:7" x14ac:dyDescent="0.25">
      <c r="A649" t="s">
        <v>229</v>
      </c>
      <c r="B649" s="556">
        <v>3</v>
      </c>
      <c r="C649" t="s">
        <v>1502</v>
      </c>
      <c r="D649" t="s">
        <v>1577</v>
      </c>
      <c r="E649" s="556">
        <f ca="1">VLOOKUP(A649,Data!C:I,7,FALSE)</f>
        <v>0</v>
      </c>
      <c r="F649" s="636" t="str">
        <f t="shared" si="44"/>
        <v>DE.AE-33</v>
      </c>
      <c r="G649" s="636" t="str">
        <f t="shared" ca="1" si="45"/>
        <v>DE.AE-330</v>
      </c>
    </row>
    <row r="650" spans="1:7" x14ac:dyDescent="0.25">
      <c r="A650" t="s">
        <v>230</v>
      </c>
      <c r="B650" s="556">
        <v>3</v>
      </c>
      <c r="C650" t="s">
        <v>1503</v>
      </c>
      <c r="D650" t="s">
        <v>1575</v>
      </c>
      <c r="E650" s="556">
        <f ca="1">VLOOKUP(A650,Data!C:I,7,FALSE)</f>
        <v>0</v>
      </c>
      <c r="F650" s="636" t="str">
        <f t="shared" si="44"/>
        <v>RS.CO-33</v>
      </c>
      <c r="G650" s="636" t="str">
        <f t="shared" ca="1" si="45"/>
        <v>RS.CO-330</v>
      </c>
    </row>
    <row r="651" spans="1:7" x14ac:dyDescent="0.25">
      <c r="A651" t="s">
        <v>230</v>
      </c>
      <c r="B651" s="556">
        <v>3</v>
      </c>
      <c r="C651" t="s">
        <v>1503</v>
      </c>
      <c r="D651" t="s">
        <v>1606</v>
      </c>
      <c r="E651" s="556">
        <f ca="1">VLOOKUP(A651,Data!C:I,7,FALSE)</f>
        <v>0</v>
      </c>
      <c r="F651" s="636" t="str">
        <f t="shared" si="44"/>
        <v>RS.CO-53</v>
      </c>
      <c r="G651" s="636" t="str">
        <f t="shared" ca="1" si="45"/>
        <v>RS.CO-530</v>
      </c>
    </row>
    <row r="652" spans="1:7" x14ac:dyDescent="0.25">
      <c r="A652" t="s">
        <v>231</v>
      </c>
      <c r="B652" s="556">
        <v>3</v>
      </c>
      <c r="C652" t="s">
        <v>1503</v>
      </c>
      <c r="D652" t="s">
        <v>1606</v>
      </c>
      <c r="E652" s="556">
        <f ca="1">VLOOKUP(A652,Data!C:I,7,FALSE)</f>
        <v>0</v>
      </c>
      <c r="F652" s="636" t="str">
        <f t="shared" si="44"/>
        <v>RS.CO-53</v>
      </c>
      <c r="G652" s="636" t="str">
        <f t="shared" ca="1" si="45"/>
        <v>RS.CO-530</v>
      </c>
    </row>
    <row r="653" spans="1:7" x14ac:dyDescent="0.25">
      <c r="A653" t="s">
        <v>233</v>
      </c>
      <c r="B653" s="556">
        <v>2</v>
      </c>
      <c r="C653" t="s">
        <v>1501</v>
      </c>
      <c r="D653" t="s">
        <v>1528</v>
      </c>
      <c r="E653" s="556">
        <f ca="1">VLOOKUP(A653,Data!C:I,7,FALSE)</f>
        <v>0</v>
      </c>
      <c r="F653" s="636" t="str">
        <f t="shared" si="44"/>
        <v>PR.PT-12</v>
      </c>
      <c r="G653" s="636" t="str">
        <f t="shared" ca="1" si="45"/>
        <v>PR.PT-120</v>
      </c>
    </row>
    <row r="654" spans="1:7" x14ac:dyDescent="0.25">
      <c r="A654" t="s">
        <v>234</v>
      </c>
      <c r="B654" s="556">
        <v>2</v>
      </c>
      <c r="C654" t="s">
        <v>1501</v>
      </c>
      <c r="D654" t="s">
        <v>1528</v>
      </c>
      <c r="E654" s="556">
        <f ca="1">VLOOKUP(A654,Data!C:I,7,FALSE)</f>
        <v>0</v>
      </c>
      <c r="F654" s="636" t="str">
        <f t="shared" si="44"/>
        <v>PR.PT-12</v>
      </c>
      <c r="G654" s="636" t="str">
        <f t="shared" ca="1" si="45"/>
        <v>PR.PT-120</v>
      </c>
    </row>
    <row r="655" spans="1:7" x14ac:dyDescent="0.25">
      <c r="A655" t="s">
        <v>235</v>
      </c>
      <c r="B655" s="556">
        <v>3</v>
      </c>
      <c r="C655" t="s">
        <v>1501</v>
      </c>
      <c r="D655" t="s">
        <v>1528</v>
      </c>
      <c r="E655" s="556">
        <f ca="1">VLOOKUP(A655,Data!C:I,7,FALSE)</f>
        <v>0</v>
      </c>
      <c r="F655" s="636" t="str">
        <f t="shared" si="44"/>
        <v>PR.PT-13</v>
      </c>
      <c r="G655" s="636" t="str">
        <f t="shared" ca="1" si="45"/>
        <v>PR.PT-130</v>
      </c>
    </row>
    <row r="656" spans="1:7" x14ac:dyDescent="0.25">
      <c r="A656" t="s">
        <v>237</v>
      </c>
      <c r="B656" s="556">
        <v>3</v>
      </c>
      <c r="C656" t="s">
        <v>446</v>
      </c>
      <c r="D656" t="s">
        <v>1529</v>
      </c>
      <c r="E656" s="556">
        <f ca="1">VLOOKUP(A656,Data!C:I,7,FALSE)</f>
        <v>0</v>
      </c>
      <c r="F656" s="636" t="str">
        <f t="shared" si="44"/>
        <v>ID.AM-63</v>
      </c>
      <c r="G656" s="636" t="str">
        <f t="shared" ca="1" si="45"/>
        <v>ID.AM-630</v>
      </c>
    </row>
    <row r="657" spans="1:7" x14ac:dyDescent="0.25">
      <c r="A657" t="s">
        <v>237</v>
      </c>
      <c r="B657" s="556">
        <v>3</v>
      </c>
      <c r="C657" t="s">
        <v>446</v>
      </c>
      <c r="D657" t="s">
        <v>1530</v>
      </c>
      <c r="E657" s="556">
        <f ca="1">VLOOKUP(A657,Data!C:I,7,FALSE)</f>
        <v>0</v>
      </c>
      <c r="F657" s="636" t="str">
        <f t="shared" si="44"/>
        <v>ID.GV-23</v>
      </c>
      <c r="G657" s="636" t="str">
        <f t="shared" ca="1" si="45"/>
        <v>ID.GV-230</v>
      </c>
    </row>
    <row r="658" spans="1:7" x14ac:dyDescent="0.25">
      <c r="A658" t="s">
        <v>238</v>
      </c>
      <c r="B658" s="556">
        <v>3</v>
      </c>
      <c r="C658" t="s">
        <v>1501</v>
      </c>
      <c r="D658" t="s">
        <v>1531</v>
      </c>
      <c r="E658" s="556">
        <f ca="1">VLOOKUP(A658,Data!C:I,7,FALSE)</f>
        <v>0</v>
      </c>
      <c r="F658" s="636" t="str">
        <f t="shared" si="44"/>
        <v>PR.IP-83</v>
      </c>
      <c r="G658" s="636" t="str">
        <f t="shared" ca="1" si="45"/>
        <v>PR.IP-830</v>
      </c>
    </row>
    <row r="659" spans="1:7" x14ac:dyDescent="0.25">
      <c r="A659" t="s">
        <v>1034</v>
      </c>
      <c r="B659" s="556">
        <v>1</v>
      </c>
      <c r="C659" t="s">
        <v>446</v>
      </c>
      <c r="D659" t="s">
        <v>1560</v>
      </c>
      <c r="E659" s="556" t="e">
        <f>VLOOKUP(A659,Data!C:I,7,FALSE)</f>
        <v>#N/A</v>
      </c>
      <c r="F659" s="636" t="str">
        <f t="shared" si="44"/>
        <v>ID.AM-41</v>
      </c>
      <c r="G659" s="636" t="e">
        <f t="shared" si="45"/>
        <v>#N/A</v>
      </c>
    </row>
    <row r="660" spans="1:7" x14ac:dyDescent="0.25">
      <c r="A660" t="s">
        <v>1034</v>
      </c>
      <c r="B660" s="556">
        <v>1</v>
      </c>
      <c r="C660" t="s">
        <v>446</v>
      </c>
      <c r="D660" t="s">
        <v>1561</v>
      </c>
      <c r="E660" s="556" t="e">
        <f>VLOOKUP(A660,Data!C:I,7,FALSE)</f>
        <v>#N/A</v>
      </c>
      <c r="F660" s="636" t="str">
        <f t="shared" si="44"/>
        <v>ID.BE-11</v>
      </c>
      <c r="G660" s="636" t="e">
        <f t="shared" si="45"/>
        <v>#N/A</v>
      </c>
    </row>
    <row r="661" spans="1:7" x14ac:dyDescent="0.25">
      <c r="A661" t="s">
        <v>1034</v>
      </c>
      <c r="B661" s="556">
        <v>1</v>
      </c>
      <c r="C661" t="s">
        <v>446</v>
      </c>
      <c r="D661" t="s">
        <v>1551</v>
      </c>
      <c r="E661" s="556" t="e">
        <f>VLOOKUP(A661,Data!C:I,7,FALSE)</f>
        <v>#N/A</v>
      </c>
      <c r="F661" s="636" t="str">
        <f t="shared" si="44"/>
        <v>ID.BE-41</v>
      </c>
      <c r="G661" s="636" t="e">
        <f t="shared" si="45"/>
        <v>#N/A</v>
      </c>
    </row>
    <row r="662" spans="1:7" x14ac:dyDescent="0.25">
      <c r="A662" t="s">
        <v>1034</v>
      </c>
      <c r="B662" s="556">
        <v>1</v>
      </c>
      <c r="C662" t="s">
        <v>446</v>
      </c>
      <c r="D662" t="s">
        <v>1543</v>
      </c>
      <c r="E662" s="556" t="e">
        <f>VLOOKUP(A662,Data!C:I,7,FALSE)</f>
        <v>#N/A</v>
      </c>
      <c r="F662" s="636" t="str">
        <f t="shared" si="44"/>
        <v>ID.SC-21</v>
      </c>
      <c r="G662" s="636" t="e">
        <f t="shared" si="45"/>
        <v>#N/A</v>
      </c>
    </row>
    <row r="663" spans="1:7" x14ac:dyDescent="0.25">
      <c r="A663" t="s">
        <v>1035</v>
      </c>
      <c r="B663" s="556">
        <v>1</v>
      </c>
      <c r="C663" t="s">
        <v>446</v>
      </c>
      <c r="D663" t="s">
        <v>1560</v>
      </c>
      <c r="E663" s="556" t="e">
        <f>VLOOKUP(A663,Data!C:I,7,FALSE)</f>
        <v>#N/A</v>
      </c>
      <c r="F663" s="636" t="str">
        <f t="shared" si="44"/>
        <v>ID.AM-41</v>
      </c>
      <c r="G663" s="636" t="e">
        <f t="shared" si="45"/>
        <v>#N/A</v>
      </c>
    </row>
    <row r="664" spans="1:7" x14ac:dyDescent="0.25">
      <c r="A664" t="s">
        <v>1035</v>
      </c>
      <c r="B664" s="556">
        <v>1</v>
      </c>
      <c r="C664" t="s">
        <v>446</v>
      </c>
      <c r="D664" t="s">
        <v>1561</v>
      </c>
      <c r="E664" s="556" t="e">
        <f>VLOOKUP(A664,Data!C:I,7,FALSE)</f>
        <v>#N/A</v>
      </c>
      <c r="F664" s="636" t="str">
        <f t="shared" si="44"/>
        <v>ID.BE-11</v>
      </c>
      <c r="G664" s="636" t="e">
        <f t="shared" si="45"/>
        <v>#N/A</v>
      </c>
    </row>
    <row r="665" spans="1:7" x14ac:dyDescent="0.25">
      <c r="A665" t="s">
        <v>1035</v>
      </c>
      <c r="B665" s="556">
        <v>1</v>
      </c>
      <c r="C665" t="s">
        <v>446</v>
      </c>
      <c r="D665" t="s">
        <v>1551</v>
      </c>
      <c r="E665" s="556" t="e">
        <f>VLOOKUP(A665,Data!C:I,7,FALSE)</f>
        <v>#N/A</v>
      </c>
      <c r="F665" s="636" t="str">
        <f t="shared" si="44"/>
        <v>ID.BE-41</v>
      </c>
      <c r="G665" s="636" t="e">
        <f t="shared" si="45"/>
        <v>#N/A</v>
      </c>
    </row>
    <row r="666" spans="1:7" x14ac:dyDescent="0.25">
      <c r="A666" t="s">
        <v>1035</v>
      </c>
      <c r="B666" s="556">
        <v>1</v>
      </c>
      <c r="C666" t="s">
        <v>446</v>
      </c>
      <c r="D666" t="s">
        <v>1543</v>
      </c>
      <c r="E666" s="556" t="e">
        <f>VLOOKUP(A666,Data!C:I,7,FALSE)</f>
        <v>#N/A</v>
      </c>
      <c r="F666" s="636" t="str">
        <f t="shared" si="44"/>
        <v>ID.SC-21</v>
      </c>
      <c r="G666" s="636" t="e">
        <f t="shared" si="45"/>
        <v>#N/A</v>
      </c>
    </row>
    <row r="667" spans="1:7" x14ac:dyDescent="0.25">
      <c r="A667" t="s">
        <v>1036</v>
      </c>
      <c r="B667" s="556">
        <v>2</v>
      </c>
      <c r="C667" t="s">
        <v>446</v>
      </c>
      <c r="D667" t="s">
        <v>1561</v>
      </c>
      <c r="E667" s="556" t="e">
        <f>VLOOKUP(A667,Data!C:I,7,FALSE)</f>
        <v>#N/A</v>
      </c>
      <c r="F667" s="636" t="str">
        <f t="shared" si="44"/>
        <v>ID.BE-12</v>
      </c>
      <c r="G667" s="636" t="e">
        <f t="shared" si="45"/>
        <v>#N/A</v>
      </c>
    </row>
    <row r="668" spans="1:7" x14ac:dyDescent="0.25">
      <c r="A668" t="s">
        <v>1036</v>
      </c>
      <c r="B668" s="556">
        <v>2</v>
      </c>
      <c r="C668" t="s">
        <v>446</v>
      </c>
      <c r="D668" t="s">
        <v>1551</v>
      </c>
      <c r="E668" s="556" t="e">
        <f>VLOOKUP(A668,Data!C:I,7,FALSE)</f>
        <v>#N/A</v>
      </c>
      <c r="F668" s="636" t="str">
        <f t="shared" si="44"/>
        <v>ID.BE-42</v>
      </c>
      <c r="G668" s="636" t="e">
        <f t="shared" si="45"/>
        <v>#N/A</v>
      </c>
    </row>
    <row r="669" spans="1:7" x14ac:dyDescent="0.25">
      <c r="A669" t="s">
        <v>1036</v>
      </c>
      <c r="B669" s="556">
        <v>2</v>
      </c>
      <c r="C669" t="s">
        <v>446</v>
      </c>
      <c r="D669" t="s">
        <v>1543</v>
      </c>
      <c r="E669" s="556" t="e">
        <f>VLOOKUP(A669,Data!C:I,7,FALSE)</f>
        <v>#N/A</v>
      </c>
      <c r="F669" s="636" t="str">
        <f t="shared" si="44"/>
        <v>ID.SC-22</v>
      </c>
      <c r="G669" s="636" t="e">
        <f t="shared" si="45"/>
        <v>#N/A</v>
      </c>
    </row>
    <row r="670" spans="1:7" x14ac:dyDescent="0.25">
      <c r="A670" t="s">
        <v>1037</v>
      </c>
      <c r="B670" s="556">
        <v>2</v>
      </c>
      <c r="C670" t="s">
        <v>446</v>
      </c>
      <c r="D670" t="s">
        <v>1551</v>
      </c>
      <c r="E670" s="556" t="e">
        <f>VLOOKUP(A670,Data!C:I,7,FALSE)</f>
        <v>#N/A</v>
      </c>
      <c r="F670" s="636" t="str">
        <f t="shared" si="44"/>
        <v>ID.BE-42</v>
      </c>
      <c r="G670" s="636" t="e">
        <f t="shared" si="45"/>
        <v>#N/A</v>
      </c>
    </row>
    <row r="671" spans="1:7" x14ac:dyDescent="0.25">
      <c r="A671" t="s">
        <v>1037</v>
      </c>
      <c r="B671" s="556">
        <v>2</v>
      </c>
      <c r="C671" t="s">
        <v>446</v>
      </c>
      <c r="D671" t="s">
        <v>1543</v>
      </c>
      <c r="E671" s="556" t="e">
        <f>VLOOKUP(A671,Data!C:I,7,FALSE)</f>
        <v>#N/A</v>
      </c>
      <c r="F671" s="636" t="str">
        <f t="shared" si="44"/>
        <v>ID.SC-22</v>
      </c>
      <c r="G671" s="636" t="e">
        <f t="shared" si="45"/>
        <v>#N/A</v>
      </c>
    </row>
    <row r="672" spans="1:7" x14ac:dyDescent="0.25">
      <c r="A672" t="s">
        <v>1038</v>
      </c>
      <c r="B672" s="556">
        <v>3</v>
      </c>
      <c r="C672" t="s">
        <v>446</v>
      </c>
      <c r="D672" t="s">
        <v>1551</v>
      </c>
      <c r="E672" s="556" t="e">
        <f>VLOOKUP(A672,Data!C:I,7,FALSE)</f>
        <v>#N/A</v>
      </c>
      <c r="F672" s="636" t="str">
        <f t="shared" si="44"/>
        <v>ID.BE-43</v>
      </c>
      <c r="G672" s="636" t="e">
        <f t="shared" si="45"/>
        <v>#N/A</v>
      </c>
    </row>
    <row r="673" spans="1:7" x14ac:dyDescent="0.25">
      <c r="A673" t="s">
        <v>1038</v>
      </c>
      <c r="B673" s="556">
        <v>3</v>
      </c>
      <c r="C673" t="s">
        <v>446</v>
      </c>
      <c r="D673" t="s">
        <v>1543</v>
      </c>
      <c r="E673" s="556" t="e">
        <f>VLOOKUP(A673,Data!C:I,7,FALSE)</f>
        <v>#N/A</v>
      </c>
      <c r="F673" s="636" t="str">
        <f t="shared" si="44"/>
        <v>ID.SC-23</v>
      </c>
      <c r="G673" s="636" t="e">
        <f t="shared" si="45"/>
        <v>#N/A</v>
      </c>
    </row>
    <row r="674" spans="1:7" x14ac:dyDescent="0.25">
      <c r="A674" t="s">
        <v>1039</v>
      </c>
      <c r="B674" s="556">
        <v>1</v>
      </c>
      <c r="C674" t="s">
        <v>446</v>
      </c>
      <c r="D674" t="s">
        <v>1563</v>
      </c>
      <c r="E674" s="556" t="e">
        <f>VLOOKUP(A674,Data!C:I,7,FALSE)</f>
        <v>#N/A</v>
      </c>
      <c r="F674" s="636" t="str">
        <f t="shared" si="44"/>
        <v>ID.SC-11</v>
      </c>
      <c r="G674" s="636" t="e">
        <f t="shared" si="45"/>
        <v>#N/A</v>
      </c>
    </row>
    <row r="675" spans="1:7" x14ac:dyDescent="0.25">
      <c r="A675" t="s">
        <v>1039</v>
      </c>
      <c r="B675" s="556">
        <v>1</v>
      </c>
      <c r="C675" t="s">
        <v>446</v>
      </c>
      <c r="D675" t="s">
        <v>1607</v>
      </c>
      <c r="E675" s="556" t="e">
        <f>VLOOKUP(A675,Data!C:I,7,FALSE)</f>
        <v>#N/A</v>
      </c>
      <c r="F675" s="636" t="str">
        <f t="shared" si="44"/>
        <v>ID.SC-31</v>
      </c>
      <c r="G675" s="636" t="e">
        <f t="shared" si="45"/>
        <v>#N/A</v>
      </c>
    </row>
    <row r="676" spans="1:7" x14ac:dyDescent="0.25">
      <c r="A676" t="s">
        <v>1040</v>
      </c>
      <c r="B676" s="556">
        <v>1</v>
      </c>
      <c r="C676" t="s">
        <v>446</v>
      </c>
      <c r="D676" t="s">
        <v>1563</v>
      </c>
      <c r="E676" s="556" t="e">
        <f>VLOOKUP(A676,Data!C:I,7,FALSE)</f>
        <v>#N/A</v>
      </c>
      <c r="F676" s="636" t="str">
        <f t="shared" si="44"/>
        <v>ID.SC-11</v>
      </c>
      <c r="G676" s="636" t="e">
        <f t="shared" si="45"/>
        <v>#N/A</v>
      </c>
    </row>
    <row r="677" spans="1:7" x14ac:dyDescent="0.25">
      <c r="A677" t="s">
        <v>1040</v>
      </c>
      <c r="B677" s="556">
        <v>1</v>
      </c>
      <c r="C677" t="s">
        <v>446</v>
      </c>
      <c r="D677" t="s">
        <v>1607</v>
      </c>
      <c r="E677" s="556" t="e">
        <f>VLOOKUP(A677,Data!C:I,7,FALSE)</f>
        <v>#N/A</v>
      </c>
      <c r="F677" s="636" t="str">
        <f t="shared" si="44"/>
        <v>ID.SC-31</v>
      </c>
      <c r="G677" s="636" t="e">
        <f t="shared" si="45"/>
        <v>#N/A</v>
      </c>
    </row>
    <row r="678" spans="1:7" x14ac:dyDescent="0.25">
      <c r="A678" t="s">
        <v>1041</v>
      </c>
      <c r="B678" s="556">
        <v>2</v>
      </c>
      <c r="C678" t="s">
        <v>446</v>
      </c>
      <c r="D678" t="s">
        <v>1563</v>
      </c>
      <c r="E678" s="556" t="e">
        <f>VLOOKUP(A678,Data!C:I,7,FALSE)</f>
        <v>#N/A</v>
      </c>
      <c r="F678" s="636" t="str">
        <f t="shared" si="44"/>
        <v>ID.SC-12</v>
      </c>
      <c r="G678" s="636" t="e">
        <f t="shared" si="45"/>
        <v>#N/A</v>
      </c>
    </row>
    <row r="679" spans="1:7" x14ac:dyDescent="0.25">
      <c r="A679" t="s">
        <v>1041</v>
      </c>
      <c r="B679" s="556">
        <v>2</v>
      </c>
      <c r="C679" t="s">
        <v>446</v>
      </c>
      <c r="D679" t="s">
        <v>1607</v>
      </c>
      <c r="E679" s="556" t="e">
        <f>VLOOKUP(A679,Data!C:I,7,FALSE)</f>
        <v>#N/A</v>
      </c>
      <c r="F679" s="636" t="str">
        <f t="shared" si="44"/>
        <v>ID.SC-32</v>
      </c>
      <c r="G679" s="636" t="e">
        <f t="shared" si="45"/>
        <v>#N/A</v>
      </c>
    </row>
    <row r="680" spans="1:7" x14ac:dyDescent="0.25">
      <c r="A680" t="s">
        <v>1042</v>
      </c>
      <c r="B680" s="556">
        <v>2</v>
      </c>
      <c r="C680" t="s">
        <v>446</v>
      </c>
      <c r="D680" t="s">
        <v>1563</v>
      </c>
      <c r="E680" s="556" t="e">
        <f>VLOOKUP(A680,Data!C:I,7,FALSE)</f>
        <v>#N/A</v>
      </c>
      <c r="F680" s="636" t="str">
        <f t="shared" si="44"/>
        <v>ID.SC-12</v>
      </c>
      <c r="G680" s="636" t="e">
        <f t="shared" si="45"/>
        <v>#N/A</v>
      </c>
    </row>
    <row r="681" spans="1:7" x14ac:dyDescent="0.25">
      <c r="A681" t="s">
        <v>1042</v>
      </c>
      <c r="B681" s="556">
        <v>2</v>
      </c>
      <c r="C681" t="s">
        <v>446</v>
      </c>
      <c r="D681" t="s">
        <v>1607</v>
      </c>
      <c r="E681" s="556" t="e">
        <f>VLOOKUP(A681,Data!C:I,7,FALSE)</f>
        <v>#N/A</v>
      </c>
      <c r="F681" s="636" t="str">
        <f t="shared" si="44"/>
        <v>ID.SC-32</v>
      </c>
      <c r="G681" s="636" t="e">
        <f t="shared" si="45"/>
        <v>#N/A</v>
      </c>
    </row>
    <row r="682" spans="1:7" x14ac:dyDescent="0.25">
      <c r="A682" t="s">
        <v>1042</v>
      </c>
      <c r="B682" s="556">
        <v>2</v>
      </c>
      <c r="C682" t="s">
        <v>446</v>
      </c>
      <c r="D682" t="s">
        <v>1608</v>
      </c>
      <c r="E682" s="556" t="e">
        <f>VLOOKUP(A682,Data!C:I,7,FALSE)</f>
        <v>#N/A</v>
      </c>
      <c r="F682" s="636" t="str">
        <f t="shared" si="44"/>
        <v>ID.SC-42</v>
      </c>
      <c r="G682" s="636" t="e">
        <f t="shared" si="45"/>
        <v>#N/A</v>
      </c>
    </row>
    <row r="683" spans="1:7" x14ac:dyDescent="0.25">
      <c r="A683" t="s">
        <v>1043</v>
      </c>
      <c r="B683" s="556">
        <v>2</v>
      </c>
      <c r="C683" t="s">
        <v>446</v>
      </c>
      <c r="D683" t="s">
        <v>1563</v>
      </c>
      <c r="E683" s="556" t="e">
        <f>VLOOKUP(A683,Data!C:I,7,FALSE)</f>
        <v>#N/A</v>
      </c>
      <c r="F683" s="636" t="str">
        <f t="shared" si="44"/>
        <v>ID.SC-12</v>
      </c>
      <c r="G683" s="636" t="e">
        <f t="shared" si="45"/>
        <v>#N/A</v>
      </c>
    </row>
    <row r="684" spans="1:7" x14ac:dyDescent="0.25">
      <c r="A684" t="s">
        <v>1044</v>
      </c>
      <c r="B684" s="556">
        <v>2</v>
      </c>
      <c r="C684" t="s">
        <v>446</v>
      </c>
      <c r="D684" t="s">
        <v>1563</v>
      </c>
      <c r="E684" s="556" t="e">
        <f>VLOOKUP(A684,Data!C:I,7,FALSE)</f>
        <v>#N/A</v>
      </c>
      <c r="F684" s="636" t="str">
        <f t="shared" si="44"/>
        <v>ID.SC-12</v>
      </c>
      <c r="G684" s="636" t="e">
        <f t="shared" si="45"/>
        <v>#N/A</v>
      </c>
    </row>
    <row r="685" spans="1:7" x14ac:dyDescent="0.25">
      <c r="A685" t="s">
        <v>1044</v>
      </c>
      <c r="B685" s="556">
        <v>2</v>
      </c>
      <c r="C685" t="s">
        <v>446</v>
      </c>
      <c r="D685" t="s">
        <v>1607</v>
      </c>
      <c r="E685" s="556" t="e">
        <f>VLOOKUP(A685,Data!C:I,7,FALSE)</f>
        <v>#N/A</v>
      </c>
      <c r="F685" s="636" t="str">
        <f t="shared" si="44"/>
        <v>ID.SC-32</v>
      </c>
      <c r="G685" s="636" t="e">
        <f t="shared" si="45"/>
        <v>#N/A</v>
      </c>
    </row>
    <row r="686" spans="1:7" x14ac:dyDescent="0.25">
      <c r="A686" t="s">
        <v>1045</v>
      </c>
      <c r="B686" s="556">
        <v>2</v>
      </c>
      <c r="C686" t="s">
        <v>446</v>
      </c>
      <c r="D686" t="s">
        <v>1563</v>
      </c>
      <c r="E686" s="556" t="e">
        <f>VLOOKUP(A686,Data!C:I,7,FALSE)</f>
        <v>#N/A</v>
      </c>
      <c r="F686" s="636" t="str">
        <f t="shared" si="44"/>
        <v>ID.SC-12</v>
      </c>
      <c r="G686" s="636" t="e">
        <f t="shared" si="45"/>
        <v>#N/A</v>
      </c>
    </row>
    <row r="687" spans="1:7" x14ac:dyDescent="0.25">
      <c r="A687" t="s">
        <v>1045</v>
      </c>
      <c r="B687" s="556">
        <v>2</v>
      </c>
      <c r="C687" t="s">
        <v>446</v>
      </c>
      <c r="D687" t="s">
        <v>1608</v>
      </c>
      <c r="E687" s="556" t="e">
        <f>VLOOKUP(A687,Data!C:I,7,FALSE)</f>
        <v>#N/A</v>
      </c>
      <c r="F687" s="636" t="str">
        <f t="shared" si="44"/>
        <v>ID.SC-42</v>
      </c>
      <c r="G687" s="636" t="e">
        <f t="shared" si="45"/>
        <v>#N/A</v>
      </c>
    </row>
    <row r="688" spans="1:7" x14ac:dyDescent="0.25">
      <c r="A688" t="s">
        <v>1046</v>
      </c>
      <c r="B688" s="556">
        <v>3</v>
      </c>
      <c r="C688" t="s">
        <v>446</v>
      </c>
      <c r="D688" t="s">
        <v>1563</v>
      </c>
      <c r="E688" s="556" t="e">
        <f>VLOOKUP(A688,Data!C:I,7,FALSE)</f>
        <v>#N/A</v>
      </c>
      <c r="F688" s="636" t="str">
        <f t="shared" si="44"/>
        <v>ID.SC-13</v>
      </c>
      <c r="G688" s="636" t="e">
        <f t="shared" si="45"/>
        <v>#N/A</v>
      </c>
    </row>
    <row r="689" spans="1:7" x14ac:dyDescent="0.25">
      <c r="A689" t="s">
        <v>1046</v>
      </c>
      <c r="B689" s="556">
        <v>3</v>
      </c>
      <c r="C689" t="s">
        <v>446</v>
      </c>
      <c r="D689" t="s">
        <v>1607</v>
      </c>
      <c r="E689" s="556" t="e">
        <f>VLOOKUP(A689,Data!C:I,7,FALSE)</f>
        <v>#N/A</v>
      </c>
      <c r="F689" s="636" t="str">
        <f t="shared" si="44"/>
        <v>ID.SC-33</v>
      </c>
      <c r="G689" s="636" t="e">
        <f t="shared" si="45"/>
        <v>#N/A</v>
      </c>
    </row>
    <row r="690" spans="1:7" x14ac:dyDescent="0.25">
      <c r="A690" t="s">
        <v>1047</v>
      </c>
      <c r="B690" s="556">
        <v>3</v>
      </c>
      <c r="C690" t="s">
        <v>446</v>
      </c>
      <c r="D690" t="s">
        <v>1563</v>
      </c>
      <c r="E690" s="556" t="e">
        <f>VLOOKUP(A690,Data!C:I,7,FALSE)</f>
        <v>#N/A</v>
      </c>
      <c r="F690" s="636" t="str">
        <f t="shared" si="44"/>
        <v>ID.SC-13</v>
      </c>
      <c r="G690" s="636" t="e">
        <f t="shared" si="45"/>
        <v>#N/A</v>
      </c>
    </row>
    <row r="691" spans="1:7" x14ac:dyDescent="0.25">
      <c r="A691" t="s">
        <v>1047</v>
      </c>
      <c r="B691" s="556">
        <v>3</v>
      </c>
      <c r="C691" t="s">
        <v>446</v>
      </c>
      <c r="D691" t="s">
        <v>1607</v>
      </c>
      <c r="E691" s="556" t="e">
        <f>VLOOKUP(A691,Data!C:I,7,FALSE)</f>
        <v>#N/A</v>
      </c>
      <c r="F691" s="636" t="str">
        <f t="shared" si="44"/>
        <v>ID.SC-33</v>
      </c>
      <c r="G691" s="636" t="e">
        <f t="shared" si="45"/>
        <v>#N/A</v>
      </c>
    </row>
    <row r="692" spans="1:7" x14ac:dyDescent="0.25">
      <c r="A692" t="s">
        <v>1048</v>
      </c>
      <c r="B692" s="556">
        <v>3</v>
      </c>
      <c r="C692" t="s">
        <v>1502</v>
      </c>
      <c r="D692" t="s">
        <v>1541</v>
      </c>
      <c r="E692" s="556" t="e">
        <f>VLOOKUP(A692,Data!C:I,7,FALSE)</f>
        <v>#N/A</v>
      </c>
      <c r="F692" s="636" t="str">
        <f t="shared" si="44"/>
        <v>DE.CM-43</v>
      </c>
      <c r="G692" s="636" t="e">
        <f t="shared" si="45"/>
        <v>#N/A</v>
      </c>
    </row>
    <row r="693" spans="1:7" x14ac:dyDescent="0.25">
      <c r="A693" t="s">
        <v>1048</v>
      </c>
      <c r="B693" s="556">
        <v>3</v>
      </c>
      <c r="C693" t="s">
        <v>1502</v>
      </c>
      <c r="D693" t="s">
        <v>1545</v>
      </c>
      <c r="E693" s="556" t="e">
        <f>VLOOKUP(A693,Data!C:I,7,FALSE)</f>
        <v>#N/A</v>
      </c>
      <c r="F693" s="636" t="str">
        <f t="shared" si="44"/>
        <v>DE.CM-53</v>
      </c>
      <c r="G693" s="636" t="e">
        <f t="shared" si="45"/>
        <v>#N/A</v>
      </c>
    </row>
    <row r="694" spans="1:7" x14ac:dyDescent="0.25">
      <c r="A694" t="s">
        <v>1048</v>
      </c>
      <c r="B694" s="556">
        <v>3</v>
      </c>
      <c r="C694" t="s">
        <v>446</v>
      </c>
      <c r="D694" t="s">
        <v>1563</v>
      </c>
      <c r="E694" s="556" t="e">
        <f>VLOOKUP(A694,Data!C:I,7,FALSE)</f>
        <v>#N/A</v>
      </c>
      <c r="F694" s="636" t="str">
        <f t="shared" si="44"/>
        <v>ID.SC-13</v>
      </c>
      <c r="G694" s="636" t="e">
        <f t="shared" si="45"/>
        <v>#N/A</v>
      </c>
    </row>
    <row r="695" spans="1:7" x14ac:dyDescent="0.25">
      <c r="A695" t="s">
        <v>1048</v>
      </c>
      <c r="B695" s="556">
        <v>3</v>
      </c>
      <c r="C695" t="s">
        <v>446</v>
      </c>
      <c r="D695" t="s">
        <v>1543</v>
      </c>
      <c r="E695" s="556" t="e">
        <f>VLOOKUP(A695,Data!C:I,7,FALSE)</f>
        <v>#N/A</v>
      </c>
      <c r="F695" s="636" t="str">
        <f t="shared" si="44"/>
        <v>ID.SC-23</v>
      </c>
      <c r="G695" s="636" t="e">
        <f t="shared" si="45"/>
        <v>#N/A</v>
      </c>
    </row>
    <row r="696" spans="1:7" x14ac:dyDescent="0.25">
      <c r="A696" t="s">
        <v>1048</v>
      </c>
      <c r="B696" s="556">
        <v>3</v>
      </c>
      <c r="C696" t="s">
        <v>446</v>
      </c>
      <c r="D696" t="s">
        <v>1607</v>
      </c>
      <c r="E696" s="556" t="e">
        <f>VLOOKUP(A696,Data!C:I,7,FALSE)</f>
        <v>#N/A</v>
      </c>
      <c r="F696" s="636" t="str">
        <f t="shared" si="44"/>
        <v>ID.SC-33</v>
      </c>
      <c r="G696" s="636" t="e">
        <f t="shared" si="45"/>
        <v>#N/A</v>
      </c>
    </row>
    <row r="697" spans="1:7" x14ac:dyDescent="0.25">
      <c r="A697" t="s">
        <v>1049</v>
      </c>
      <c r="B697" s="556">
        <v>3</v>
      </c>
      <c r="C697" t="s">
        <v>446</v>
      </c>
      <c r="D697" t="s">
        <v>1608</v>
      </c>
      <c r="E697" s="556" t="e">
        <f>VLOOKUP(A697,Data!C:I,7,FALSE)</f>
        <v>#N/A</v>
      </c>
      <c r="F697" s="636" t="str">
        <f t="shared" si="44"/>
        <v>ID.SC-43</v>
      </c>
      <c r="G697" s="636" t="e">
        <f t="shared" si="45"/>
        <v>#N/A</v>
      </c>
    </row>
    <row r="698" spans="1:7" x14ac:dyDescent="0.25">
      <c r="A698" t="s">
        <v>1050</v>
      </c>
      <c r="B698" s="556">
        <v>2</v>
      </c>
      <c r="C698" t="s">
        <v>446</v>
      </c>
      <c r="D698" t="s">
        <v>1563</v>
      </c>
      <c r="E698" s="556" t="e">
        <f>VLOOKUP(A698,Data!C:I,7,FALSE)</f>
        <v>#N/A</v>
      </c>
      <c r="F698" s="636" t="str">
        <f t="shared" si="44"/>
        <v>ID.SC-12</v>
      </c>
      <c r="G698" s="636" t="e">
        <f t="shared" si="45"/>
        <v>#N/A</v>
      </c>
    </row>
    <row r="699" spans="1:7" x14ac:dyDescent="0.25">
      <c r="A699" t="s">
        <v>1051</v>
      </c>
      <c r="B699" s="556">
        <v>2</v>
      </c>
      <c r="C699" t="s">
        <v>446</v>
      </c>
      <c r="D699" t="s">
        <v>1543</v>
      </c>
      <c r="E699" s="556" t="e">
        <f>VLOOKUP(A699,Data!C:I,7,FALSE)</f>
        <v>#N/A</v>
      </c>
      <c r="F699" s="636" t="str">
        <f t="shared" si="44"/>
        <v>ID.SC-22</v>
      </c>
      <c r="G699" s="636" t="e">
        <f t="shared" si="45"/>
        <v>#N/A</v>
      </c>
    </row>
    <row r="700" spans="1:7" x14ac:dyDescent="0.25">
      <c r="A700" t="s">
        <v>1052</v>
      </c>
      <c r="B700" s="556">
        <v>3</v>
      </c>
      <c r="C700" t="s">
        <v>446</v>
      </c>
      <c r="D700" t="s">
        <v>1563</v>
      </c>
      <c r="E700" s="556" t="e">
        <f>VLOOKUP(A700,Data!C:I,7,FALSE)</f>
        <v>#N/A</v>
      </c>
      <c r="F700" s="636" t="str">
        <f t="shared" si="44"/>
        <v>ID.SC-13</v>
      </c>
      <c r="G700" s="636" t="e">
        <f t="shared" si="45"/>
        <v>#N/A</v>
      </c>
    </row>
    <row r="701" spans="1:7" x14ac:dyDescent="0.25">
      <c r="A701" t="s">
        <v>1053</v>
      </c>
      <c r="B701" s="556">
        <v>3</v>
      </c>
      <c r="C701" t="s">
        <v>446</v>
      </c>
      <c r="D701" t="s">
        <v>1529</v>
      </c>
      <c r="E701" s="556" t="e">
        <f>VLOOKUP(A701,Data!C:I,7,FALSE)</f>
        <v>#N/A</v>
      </c>
      <c r="F701" s="636" t="str">
        <f t="shared" si="44"/>
        <v>ID.AM-63</v>
      </c>
      <c r="G701" s="636" t="e">
        <f t="shared" si="45"/>
        <v>#N/A</v>
      </c>
    </row>
    <row r="702" spans="1:7" x14ac:dyDescent="0.25">
      <c r="A702" t="s">
        <v>1053</v>
      </c>
      <c r="B702" s="556">
        <v>3</v>
      </c>
      <c r="C702" t="s">
        <v>446</v>
      </c>
      <c r="D702" t="s">
        <v>1530</v>
      </c>
      <c r="E702" s="556" t="e">
        <f>VLOOKUP(A702,Data!C:I,7,FALSE)</f>
        <v>#N/A</v>
      </c>
      <c r="F702" s="636" t="str">
        <f t="shared" si="44"/>
        <v>ID.GV-23</v>
      </c>
      <c r="G702" s="636" t="e">
        <f t="shared" si="45"/>
        <v>#N/A</v>
      </c>
    </row>
    <row r="703" spans="1:7" x14ac:dyDescent="0.25">
      <c r="A703" t="s">
        <v>1054</v>
      </c>
      <c r="B703" s="556">
        <v>3</v>
      </c>
      <c r="C703" t="s">
        <v>1501</v>
      </c>
      <c r="D703" t="s">
        <v>1531</v>
      </c>
      <c r="E703" s="556" t="e">
        <f>VLOOKUP(A703,Data!C:I,7,FALSE)</f>
        <v>#N/A</v>
      </c>
      <c r="F703" s="636" t="str">
        <f t="shared" si="44"/>
        <v>PR.IP-83</v>
      </c>
      <c r="G703" s="636" t="e">
        <f t="shared" si="45"/>
        <v>#N/A</v>
      </c>
    </row>
    <row r="704" spans="1:7" x14ac:dyDescent="0.25">
      <c r="A704" t="s">
        <v>175</v>
      </c>
      <c r="B704" s="556">
        <v>1</v>
      </c>
      <c r="C704" t="s">
        <v>446</v>
      </c>
      <c r="D704" t="s">
        <v>1609</v>
      </c>
      <c r="E704" s="556">
        <f ca="1">VLOOKUP(A704,Data!C:I,7,FALSE)</f>
        <v>0</v>
      </c>
      <c r="F704" s="636" t="str">
        <f t="shared" si="44"/>
        <v>ID.RA-11</v>
      </c>
      <c r="G704" s="636" t="str">
        <f t="shared" ca="1" si="45"/>
        <v>ID.RA-110</v>
      </c>
    </row>
    <row r="705" spans="1:7" x14ac:dyDescent="0.25">
      <c r="A705" t="s">
        <v>175</v>
      </c>
      <c r="B705" s="556">
        <v>1</v>
      </c>
      <c r="C705" t="s">
        <v>446</v>
      </c>
      <c r="D705" t="s">
        <v>1610</v>
      </c>
      <c r="E705" s="556">
        <f ca="1">VLOOKUP(A705,Data!C:I,7,FALSE)</f>
        <v>0</v>
      </c>
      <c r="F705" s="636" t="str">
        <f t="shared" si="44"/>
        <v>ID.RA-21</v>
      </c>
      <c r="G705" s="636" t="str">
        <f t="shared" ca="1" si="45"/>
        <v>ID.RA-210</v>
      </c>
    </row>
    <row r="706" spans="1:7" x14ac:dyDescent="0.25">
      <c r="A706" t="s">
        <v>175</v>
      </c>
      <c r="B706" s="556">
        <v>1</v>
      </c>
      <c r="C706" t="s">
        <v>1501</v>
      </c>
      <c r="D706" t="s">
        <v>1531</v>
      </c>
      <c r="E706" s="556">
        <f ca="1">VLOOKUP(A706,Data!C:I,7,FALSE)</f>
        <v>0</v>
      </c>
      <c r="F706" s="636" t="str">
        <f t="shared" si="44"/>
        <v>PR.IP-81</v>
      </c>
      <c r="G706" s="636" t="str">
        <f t="shared" ca="1" si="45"/>
        <v>PR.IP-810</v>
      </c>
    </row>
    <row r="707" spans="1:7" x14ac:dyDescent="0.25">
      <c r="A707" t="s">
        <v>175</v>
      </c>
      <c r="B707" s="556">
        <v>1</v>
      </c>
      <c r="C707" t="s">
        <v>1503</v>
      </c>
      <c r="D707" t="s">
        <v>1611</v>
      </c>
      <c r="E707" s="556">
        <f ca="1">VLOOKUP(A707,Data!C:I,7,FALSE)</f>
        <v>0</v>
      </c>
      <c r="F707" s="636" t="str">
        <f t="shared" ref="F707:F770" si="46">CONCATENATE($D707,$B707)</f>
        <v>RS.AN-51</v>
      </c>
      <c r="G707" s="636" t="str">
        <f t="shared" ref="G707:G770" ca="1" si="47">_xlfn.IFNA(CONCATENATE(F707,$E707),CONCATENATE(F707,$E707,0))</f>
        <v>RS.AN-510</v>
      </c>
    </row>
    <row r="708" spans="1:7" x14ac:dyDescent="0.25">
      <c r="A708" t="s">
        <v>175</v>
      </c>
      <c r="B708" s="556">
        <v>1</v>
      </c>
      <c r="C708" t="s">
        <v>1503</v>
      </c>
      <c r="D708" t="s">
        <v>1606</v>
      </c>
      <c r="E708" s="556">
        <f ca="1">VLOOKUP(A708,Data!C:I,7,FALSE)</f>
        <v>0</v>
      </c>
      <c r="F708" s="636" t="str">
        <f t="shared" si="46"/>
        <v>RS.CO-51</v>
      </c>
      <c r="G708" s="636" t="str">
        <f t="shared" ca="1" si="47"/>
        <v>RS.CO-510</v>
      </c>
    </row>
    <row r="709" spans="1:7" x14ac:dyDescent="0.25">
      <c r="A709" t="s">
        <v>176</v>
      </c>
      <c r="B709" s="556">
        <v>1</v>
      </c>
      <c r="C709" t="s">
        <v>446</v>
      </c>
      <c r="D709" t="s">
        <v>1609</v>
      </c>
      <c r="E709" s="556">
        <f ca="1">VLOOKUP(A709,Data!C:I,7,FALSE)</f>
        <v>0</v>
      </c>
      <c r="F709" s="636" t="str">
        <f t="shared" si="46"/>
        <v>ID.RA-11</v>
      </c>
      <c r="G709" s="636" t="str">
        <f t="shared" ca="1" si="47"/>
        <v>ID.RA-110</v>
      </c>
    </row>
    <row r="710" spans="1:7" x14ac:dyDescent="0.25">
      <c r="A710" t="s">
        <v>176</v>
      </c>
      <c r="B710" s="556">
        <v>1</v>
      </c>
      <c r="C710" t="s">
        <v>446</v>
      </c>
      <c r="D710" t="s">
        <v>1610</v>
      </c>
      <c r="E710" s="556">
        <f ca="1">VLOOKUP(A710,Data!C:I,7,FALSE)</f>
        <v>0</v>
      </c>
      <c r="F710" s="636" t="str">
        <f t="shared" si="46"/>
        <v>ID.RA-21</v>
      </c>
      <c r="G710" s="636" t="str">
        <f t="shared" ca="1" si="47"/>
        <v>ID.RA-210</v>
      </c>
    </row>
    <row r="711" spans="1:7" x14ac:dyDescent="0.25">
      <c r="A711" t="s">
        <v>176</v>
      </c>
      <c r="B711" s="556">
        <v>1</v>
      </c>
      <c r="C711" t="s">
        <v>1503</v>
      </c>
      <c r="D711" t="s">
        <v>1611</v>
      </c>
      <c r="E711" s="556">
        <f ca="1">VLOOKUP(A711,Data!C:I,7,FALSE)</f>
        <v>0</v>
      </c>
      <c r="F711" s="636" t="str">
        <f t="shared" si="46"/>
        <v>RS.AN-51</v>
      </c>
      <c r="G711" s="636" t="str">
        <f t="shared" ca="1" si="47"/>
        <v>RS.AN-510</v>
      </c>
    </row>
    <row r="712" spans="1:7" x14ac:dyDescent="0.25">
      <c r="A712" t="s">
        <v>177</v>
      </c>
      <c r="B712" s="556">
        <v>1</v>
      </c>
      <c r="C712" t="s">
        <v>1502</v>
      </c>
      <c r="D712" t="s">
        <v>1603</v>
      </c>
      <c r="E712" s="556">
        <f ca="1">VLOOKUP(A712,Data!C:I,7,FALSE)</f>
        <v>0</v>
      </c>
      <c r="F712" s="636" t="str">
        <f t="shared" si="46"/>
        <v>DE.CM-81</v>
      </c>
      <c r="G712" s="636" t="str">
        <f t="shared" ca="1" si="47"/>
        <v>DE.CM-810</v>
      </c>
    </row>
    <row r="713" spans="1:7" x14ac:dyDescent="0.25">
      <c r="A713" t="s">
        <v>177</v>
      </c>
      <c r="B713" s="556">
        <v>1</v>
      </c>
      <c r="C713" t="s">
        <v>446</v>
      </c>
      <c r="D713" t="s">
        <v>1609</v>
      </c>
      <c r="E713" s="556">
        <f ca="1">VLOOKUP(A713,Data!C:I,7,FALSE)</f>
        <v>0</v>
      </c>
      <c r="F713" s="636" t="str">
        <f t="shared" si="46"/>
        <v>ID.RA-11</v>
      </c>
      <c r="G713" s="636" t="str">
        <f t="shared" ca="1" si="47"/>
        <v>ID.RA-110</v>
      </c>
    </row>
    <row r="714" spans="1:7" x14ac:dyDescent="0.25">
      <c r="A714" t="s">
        <v>177</v>
      </c>
      <c r="B714" s="556">
        <v>1</v>
      </c>
      <c r="C714" t="s">
        <v>1503</v>
      </c>
      <c r="D714" t="s">
        <v>1611</v>
      </c>
      <c r="E714" s="556">
        <f ca="1">VLOOKUP(A714,Data!C:I,7,FALSE)</f>
        <v>0</v>
      </c>
      <c r="F714" s="636" t="str">
        <f t="shared" si="46"/>
        <v>RS.AN-51</v>
      </c>
      <c r="G714" s="636" t="str">
        <f t="shared" ca="1" si="47"/>
        <v>RS.AN-510</v>
      </c>
    </row>
    <row r="715" spans="1:7" x14ac:dyDescent="0.25">
      <c r="A715" t="s">
        <v>178</v>
      </c>
      <c r="B715" s="556">
        <v>1</v>
      </c>
      <c r="C715" t="s">
        <v>1501</v>
      </c>
      <c r="D715" t="s">
        <v>1546</v>
      </c>
      <c r="E715" s="556">
        <f ca="1">VLOOKUP(A715,Data!C:I,7,FALSE)</f>
        <v>0</v>
      </c>
      <c r="F715" s="636" t="str">
        <f t="shared" si="46"/>
        <v>PR.DS-11</v>
      </c>
      <c r="G715" s="636" t="str">
        <f t="shared" ca="1" si="47"/>
        <v>PR.DS-110</v>
      </c>
    </row>
    <row r="716" spans="1:7" x14ac:dyDescent="0.25">
      <c r="A716" t="s">
        <v>178</v>
      </c>
      <c r="B716" s="556">
        <v>1</v>
      </c>
      <c r="C716" t="s">
        <v>1501</v>
      </c>
      <c r="D716" t="s">
        <v>1547</v>
      </c>
      <c r="E716" s="556">
        <f ca="1">VLOOKUP(A716,Data!C:I,7,FALSE)</f>
        <v>0</v>
      </c>
      <c r="F716" s="636" t="str">
        <f t="shared" si="46"/>
        <v>PR.DS-21</v>
      </c>
      <c r="G716" s="636" t="str">
        <f t="shared" ca="1" si="47"/>
        <v>PR.DS-210</v>
      </c>
    </row>
    <row r="717" spans="1:7" x14ac:dyDescent="0.25">
      <c r="A717" t="s">
        <v>178</v>
      </c>
      <c r="B717" s="556">
        <v>1</v>
      </c>
      <c r="C717" t="s">
        <v>1501</v>
      </c>
      <c r="D717" t="s">
        <v>1534</v>
      </c>
      <c r="E717" s="556">
        <f ca="1">VLOOKUP(A717,Data!C:I,7,FALSE)</f>
        <v>0</v>
      </c>
      <c r="F717" s="636" t="str">
        <f t="shared" si="46"/>
        <v>PR.DS-41</v>
      </c>
      <c r="G717" s="636" t="str">
        <f t="shared" ca="1" si="47"/>
        <v>PR.DS-410</v>
      </c>
    </row>
    <row r="718" spans="1:7" x14ac:dyDescent="0.25">
      <c r="A718" t="s">
        <v>178</v>
      </c>
      <c r="B718" s="556">
        <v>1</v>
      </c>
      <c r="C718" t="s">
        <v>1501</v>
      </c>
      <c r="D718" t="s">
        <v>1535</v>
      </c>
      <c r="E718" s="556">
        <f ca="1">VLOOKUP(A718,Data!C:I,7,FALSE)</f>
        <v>0</v>
      </c>
      <c r="F718" s="636" t="str">
        <f t="shared" si="46"/>
        <v>PR.DS-51</v>
      </c>
      <c r="G718" s="636" t="str">
        <f t="shared" ca="1" si="47"/>
        <v>PR.DS-510</v>
      </c>
    </row>
    <row r="719" spans="1:7" x14ac:dyDescent="0.25">
      <c r="A719" t="s">
        <v>178</v>
      </c>
      <c r="B719" s="556">
        <v>1</v>
      </c>
      <c r="C719" t="s">
        <v>1503</v>
      </c>
      <c r="D719" t="s">
        <v>1611</v>
      </c>
      <c r="E719" s="556">
        <f ca="1">VLOOKUP(A719,Data!C:I,7,FALSE)</f>
        <v>0</v>
      </c>
      <c r="F719" s="636" t="str">
        <f t="shared" si="46"/>
        <v>RS.AN-51</v>
      </c>
      <c r="G719" s="636" t="str">
        <f t="shared" ca="1" si="47"/>
        <v>RS.AN-510</v>
      </c>
    </row>
    <row r="720" spans="1:7" x14ac:dyDescent="0.25">
      <c r="A720" t="s">
        <v>178</v>
      </c>
      <c r="B720" s="556">
        <v>1</v>
      </c>
      <c r="C720" t="s">
        <v>1503</v>
      </c>
      <c r="D720" t="s">
        <v>1601</v>
      </c>
      <c r="E720" s="556">
        <f ca="1">VLOOKUP(A720,Data!C:I,7,FALSE)</f>
        <v>0</v>
      </c>
      <c r="F720" s="636" t="str">
        <f t="shared" si="46"/>
        <v>RS.MI-31</v>
      </c>
      <c r="G720" s="636" t="str">
        <f t="shared" ca="1" si="47"/>
        <v>RS.MI-310</v>
      </c>
    </row>
    <row r="721" spans="1:7" x14ac:dyDescent="0.25">
      <c r="A721" t="s">
        <v>179</v>
      </c>
      <c r="B721" s="556">
        <v>2</v>
      </c>
      <c r="C721" t="s">
        <v>446</v>
      </c>
      <c r="D721" t="s">
        <v>1609</v>
      </c>
      <c r="E721" s="556">
        <f ca="1">VLOOKUP(A721,Data!C:I,7,FALSE)</f>
        <v>0</v>
      </c>
      <c r="F721" s="636" t="str">
        <f t="shared" si="46"/>
        <v>ID.RA-12</v>
      </c>
      <c r="G721" s="636" t="str">
        <f t="shared" ca="1" si="47"/>
        <v>ID.RA-120</v>
      </c>
    </row>
    <row r="722" spans="1:7" x14ac:dyDescent="0.25">
      <c r="A722" t="s">
        <v>179</v>
      </c>
      <c r="B722" s="556">
        <v>2</v>
      </c>
      <c r="C722" t="s">
        <v>446</v>
      </c>
      <c r="D722" t="s">
        <v>1610</v>
      </c>
      <c r="E722" s="556">
        <f ca="1">VLOOKUP(A722,Data!C:I,7,FALSE)</f>
        <v>0</v>
      </c>
      <c r="F722" s="636" t="str">
        <f t="shared" si="46"/>
        <v>ID.RA-22</v>
      </c>
      <c r="G722" s="636" t="str">
        <f t="shared" ca="1" si="47"/>
        <v>ID.RA-220</v>
      </c>
    </row>
    <row r="723" spans="1:7" x14ac:dyDescent="0.25">
      <c r="A723" t="s">
        <v>179</v>
      </c>
      <c r="B723" s="556">
        <v>2</v>
      </c>
      <c r="C723" t="s">
        <v>1503</v>
      </c>
      <c r="D723" t="s">
        <v>1611</v>
      </c>
      <c r="E723" s="556">
        <f ca="1">VLOOKUP(A723,Data!C:I,7,FALSE)</f>
        <v>0</v>
      </c>
      <c r="F723" s="636" t="str">
        <f t="shared" si="46"/>
        <v>RS.AN-52</v>
      </c>
      <c r="G723" s="636" t="str">
        <f t="shared" ca="1" si="47"/>
        <v>RS.AN-520</v>
      </c>
    </row>
    <row r="724" spans="1:7" x14ac:dyDescent="0.25">
      <c r="A724" t="s">
        <v>180</v>
      </c>
      <c r="B724" s="556">
        <v>2</v>
      </c>
      <c r="C724" t="s">
        <v>1502</v>
      </c>
      <c r="D724" t="s">
        <v>1603</v>
      </c>
      <c r="E724" s="556">
        <f ca="1">VLOOKUP(A724,Data!C:I,7,FALSE)</f>
        <v>0</v>
      </c>
      <c r="F724" s="636" t="str">
        <f t="shared" si="46"/>
        <v>DE.CM-82</v>
      </c>
      <c r="G724" s="636" t="str">
        <f t="shared" ca="1" si="47"/>
        <v>DE.CM-820</v>
      </c>
    </row>
    <row r="725" spans="1:7" x14ac:dyDescent="0.25">
      <c r="A725" t="s">
        <v>180</v>
      </c>
      <c r="B725" s="556">
        <v>2</v>
      </c>
      <c r="C725" t="s">
        <v>446</v>
      </c>
      <c r="D725" t="s">
        <v>1609</v>
      </c>
      <c r="E725" s="556">
        <f ca="1">VLOOKUP(A725,Data!C:I,7,FALSE)</f>
        <v>0</v>
      </c>
      <c r="F725" s="636" t="str">
        <f t="shared" si="46"/>
        <v>ID.RA-12</v>
      </c>
      <c r="G725" s="636" t="str">
        <f t="shared" ca="1" si="47"/>
        <v>ID.RA-120</v>
      </c>
    </row>
    <row r="726" spans="1:7" x14ac:dyDescent="0.25">
      <c r="A726" t="s">
        <v>180</v>
      </c>
      <c r="B726" s="556">
        <v>2</v>
      </c>
      <c r="C726" t="s">
        <v>446</v>
      </c>
      <c r="D726" t="s">
        <v>1612</v>
      </c>
      <c r="E726" s="556">
        <f ca="1">VLOOKUP(A726,Data!C:I,7,FALSE)</f>
        <v>0</v>
      </c>
      <c r="F726" s="636" t="str">
        <f t="shared" si="46"/>
        <v>ID.RA-32</v>
      </c>
      <c r="G726" s="636" t="str">
        <f t="shared" ca="1" si="47"/>
        <v>ID.RA-320</v>
      </c>
    </row>
    <row r="727" spans="1:7" x14ac:dyDescent="0.25">
      <c r="A727" t="s">
        <v>180</v>
      </c>
      <c r="B727" s="556">
        <v>2</v>
      </c>
      <c r="C727" t="s">
        <v>446</v>
      </c>
      <c r="D727" t="s">
        <v>1613</v>
      </c>
      <c r="E727" s="556">
        <f ca="1">VLOOKUP(A727,Data!C:I,7,FALSE)</f>
        <v>0</v>
      </c>
      <c r="F727" s="636" t="str">
        <f t="shared" si="46"/>
        <v>ID.RA-42</v>
      </c>
      <c r="G727" s="636" t="str">
        <f t="shared" ca="1" si="47"/>
        <v>ID.RA-420</v>
      </c>
    </row>
    <row r="728" spans="1:7" x14ac:dyDescent="0.25">
      <c r="A728" t="s">
        <v>181</v>
      </c>
      <c r="B728" s="556">
        <v>2</v>
      </c>
      <c r="C728" t="s">
        <v>446</v>
      </c>
      <c r="D728" t="s">
        <v>1609</v>
      </c>
      <c r="E728" s="556">
        <f ca="1">VLOOKUP(A728,Data!C:I,7,FALSE)</f>
        <v>0</v>
      </c>
      <c r="F728" s="636" t="str">
        <f t="shared" si="46"/>
        <v>ID.RA-12</v>
      </c>
      <c r="G728" s="636" t="str">
        <f t="shared" ca="1" si="47"/>
        <v>ID.RA-120</v>
      </c>
    </row>
    <row r="729" spans="1:7" x14ac:dyDescent="0.25">
      <c r="A729" t="s">
        <v>181</v>
      </c>
      <c r="B729" s="556">
        <v>2</v>
      </c>
      <c r="C729" t="s">
        <v>1503</v>
      </c>
      <c r="D729" t="s">
        <v>1611</v>
      </c>
      <c r="E729" s="556">
        <f ca="1">VLOOKUP(A729,Data!C:I,7,FALSE)</f>
        <v>0</v>
      </c>
      <c r="F729" s="636" t="str">
        <f t="shared" si="46"/>
        <v>RS.AN-52</v>
      </c>
      <c r="G729" s="636" t="str">
        <f t="shared" ca="1" si="47"/>
        <v>RS.AN-520</v>
      </c>
    </row>
    <row r="730" spans="1:7" x14ac:dyDescent="0.25">
      <c r="A730" t="s">
        <v>181</v>
      </c>
      <c r="B730" s="556">
        <v>2</v>
      </c>
      <c r="C730" t="s">
        <v>1503</v>
      </c>
      <c r="D730" t="s">
        <v>1601</v>
      </c>
      <c r="E730" s="556">
        <f ca="1">VLOOKUP(A730,Data!C:I,7,FALSE)</f>
        <v>0</v>
      </c>
      <c r="F730" s="636" t="str">
        <f t="shared" si="46"/>
        <v>RS.MI-32</v>
      </c>
      <c r="G730" s="636" t="str">
        <f t="shared" ca="1" si="47"/>
        <v>RS.MI-320</v>
      </c>
    </row>
    <row r="731" spans="1:7" x14ac:dyDescent="0.25">
      <c r="A731" t="s">
        <v>182</v>
      </c>
      <c r="B731" s="556">
        <v>2</v>
      </c>
      <c r="C731" t="s">
        <v>446</v>
      </c>
      <c r="D731" t="s">
        <v>1613</v>
      </c>
      <c r="E731" s="556">
        <f ca="1">VLOOKUP(A731,Data!C:I,7,FALSE)</f>
        <v>0</v>
      </c>
      <c r="F731" s="636" t="str">
        <f t="shared" si="46"/>
        <v>ID.RA-42</v>
      </c>
      <c r="G731" s="636" t="str">
        <f t="shared" ca="1" si="47"/>
        <v>ID.RA-420</v>
      </c>
    </row>
    <row r="732" spans="1:7" x14ac:dyDescent="0.25">
      <c r="A732" t="s">
        <v>182</v>
      </c>
      <c r="B732" s="556">
        <v>2</v>
      </c>
      <c r="C732" t="s">
        <v>1503</v>
      </c>
      <c r="D732" t="s">
        <v>1611</v>
      </c>
      <c r="E732" s="556">
        <f ca="1">VLOOKUP(A732,Data!C:I,7,FALSE)</f>
        <v>0</v>
      </c>
      <c r="F732" s="636" t="str">
        <f t="shared" si="46"/>
        <v>RS.AN-52</v>
      </c>
      <c r="G732" s="636" t="str">
        <f t="shared" ca="1" si="47"/>
        <v>RS.AN-520</v>
      </c>
    </row>
    <row r="733" spans="1:7" x14ac:dyDescent="0.25">
      <c r="A733" t="s">
        <v>183</v>
      </c>
      <c r="B733" s="556">
        <v>2</v>
      </c>
      <c r="C733" t="s">
        <v>1502</v>
      </c>
      <c r="D733" t="s">
        <v>1579</v>
      </c>
      <c r="E733" s="556">
        <f ca="1">VLOOKUP(A733,Data!C:I,7,FALSE)</f>
        <v>0</v>
      </c>
      <c r="F733" s="636" t="str">
        <f t="shared" si="46"/>
        <v>DE.DP-42</v>
      </c>
      <c r="G733" s="636" t="str">
        <f t="shared" ca="1" si="47"/>
        <v>DE.DP-420</v>
      </c>
    </row>
    <row r="734" spans="1:7" x14ac:dyDescent="0.25">
      <c r="A734" t="s">
        <v>183</v>
      </c>
      <c r="B734" s="556">
        <v>2</v>
      </c>
      <c r="C734" t="s">
        <v>1501</v>
      </c>
      <c r="D734" t="s">
        <v>1531</v>
      </c>
      <c r="E734" s="556">
        <f ca="1">VLOOKUP(A734,Data!C:I,7,FALSE)</f>
        <v>0</v>
      </c>
      <c r="F734" s="636" t="str">
        <f t="shared" si="46"/>
        <v>PR.IP-82</v>
      </c>
      <c r="G734" s="636" t="str">
        <f t="shared" ca="1" si="47"/>
        <v>PR.IP-820</v>
      </c>
    </row>
    <row r="735" spans="1:7" x14ac:dyDescent="0.25">
      <c r="A735" t="s">
        <v>183</v>
      </c>
      <c r="B735" s="556">
        <v>2</v>
      </c>
      <c r="C735" t="s">
        <v>1503</v>
      </c>
      <c r="D735" t="s">
        <v>1575</v>
      </c>
      <c r="E735" s="556">
        <f ca="1">VLOOKUP(A735,Data!C:I,7,FALSE)</f>
        <v>0</v>
      </c>
      <c r="F735" s="636" t="str">
        <f t="shared" si="46"/>
        <v>RS.CO-32</v>
      </c>
      <c r="G735" s="636" t="str">
        <f t="shared" ca="1" si="47"/>
        <v>RS.CO-320</v>
      </c>
    </row>
    <row r="736" spans="1:7" x14ac:dyDescent="0.25">
      <c r="A736" t="s">
        <v>183</v>
      </c>
      <c r="B736" s="556">
        <v>2</v>
      </c>
      <c r="C736" t="s">
        <v>1503</v>
      </c>
      <c r="D736" t="s">
        <v>1606</v>
      </c>
      <c r="E736" s="556">
        <f ca="1">VLOOKUP(A736,Data!C:I,7,FALSE)</f>
        <v>0</v>
      </c>
      <c r="F736" s="636" t="str">
        <f t="shared" si="46"/>
        <v>RS.CO-52</v>
      </c>
      <c r="G736" s="636" t="str">
        <f t="shared" ca="1" si="47"/>
        <v>RS.CO-520</v>
      </c>
    </row>
    <row r="737" spans="1:7" x14ac:dyDescent="0.25">
      <c r="A737" t="s">
        <v>184</v>
      </c>
      <c r="B737" s="556">
        <v>3</v>
      </c>
      <c r="C737" t="s">
        <v>1502</v>
      </c>
      <c r="D737" t="s">
        <v>1603</v>
      </c>
      <c r="E737" s="556">
        <f ca="1">VLOOKUP(A737,Data!C:I,7,FALSE)</f>
        <v>0</v>
      </c>
      <c r="F737" s="636" t="str">
        <f t="shared" si="46"/>
        <v>DE.CM-83</v>
      </c>
      <c r="G737" s="636" t="str">
        <f t="shared" ca="1" si="47"/>
        <v>DE.CM-830</v>
      </c>
    </row>
    <row r="738" spans="1:7" x14ac:dyDescent="0.25">
      <c r="A738" t="s">
        <v>184</v>
      </c>
      <c r="B738" s="556">
        <v>3</v>
      </c>
      <c r="C738" t="s">
        <v>446</v>
      </c>
      <c r="D738" t="s">
        <v>1609</v>
      </c>
      <c r="E738" s="556">
        <f ca="1">VLOOKUP(A738,Data!C:I,7,FALSE)</f>
        <v>0</v>
      </c>
      <c r="F738" s="636" t="str">
        <f t="shared" si="46"/>
        <v>ID.RA-13</v>
      </c>
      <c r="G738" s="636" t="str">
        <f t="shared" ca="1" si="47"/>
        <v>ID.RA-130</v>
      </c>
    </row>
    <row r="739" spans="1:7" x14ac:dyDescent="0.25">
      <c r="A739" t="s">
        <v>184</v>
      </c>
      <c r="B739" s="556">
        <v>3</v>
      </c>
      <c r="C739" t="s">
        <v>1503</v>
      </c>
      <c r="D739" t="s">
        <v>1611</v>
      </c>
      <c r="E739" s="556">
        <f ca="1">VLOOKUP(A739,Data!C:I,7,FALSE)</f>
        <v>0</v>
      </c>
      <c r="F739" s="636" t="str">
        <f t="shared" si="46"/>
        <v>RS.AN-53</v>
      </c>
      <c r="G739" s="636" t="str">
        <f t="shared" ca="1" si="47"/>
        <v>RS.AN-530</v>
      </c>
    </row>
    <row r="740" spans="1:7" x14ac:dyDescent="0.25">
      <c r="A740" t="s">
        <v>185</v>
      </c>
      <c r="B740" s="556">
        <v>3</v>
      </c>
      <c r="C740" t="s">
        <v>1502</v>
      </c>
      <c r="D740" t="s">
        <v>1579</v>
      </c>
      <c r="E740" s="556">
        <f ca="1">VLOOKUP(A740,Data!C:I,7,FALSE)</f>
        <v>0</v>
      </c>
      <c r="F740" s="636" t="str">
        <f t="shared" si="46"/>
        <v>DE.DP-43</v>
      </c>
      <c r="G740" s="636" t="str">
        <f t="shared" ca="1" si="47"/>
        <v>DE.DP-430</v>
      </c>
    </row>
    <row r="741" spans="1:7" x14ac:dyDescent="0.25">
      <c r="A741" t="s">
        <v>185</v>
      </c>
      <c r="B741" s="556">
        <v>3</v>
      </c>
      <c r="C741" t="s">
        <v>446</v>
      </c>
      <c r="D741" t="s">
        <v>1609</v>
      </c>
      <c r="E741" s="556">
        <f ca="1">VLOOKUP(A741,Data!C:I,7,FALSE)</f>
        <v>0</v>
      </c>
      <c r="F741" s="636" t="str">
        <f t="shared" si="46"/>
        <v>ID.RA-13</v>
      </c>
      <c r="G741" s="636" t="str">
        <f t="shared" ca="1" si="47"/>
        <v>ID.RA-130</v>
      </c>
    </row>
    <row r="742" spans="1:7" x14ac:dyDescent="0.25">
      <c r="A742" t="s">
        <v>185</v>
      </c>
      <c r="B742" s="556">
        <v>3</v>
      </c>
      <c r="C742" t="s">
        <v>446</v>
      </c>
      <c r="D742" t="s">
        <v>1613</v>
      </c>
      <c r="E742" s="556">
        <f ca="1">VLOOKUP(A742,Data!C:I,7,FALSE)</f>
        <v>0</v>
      </c>
      <c r="F742" s="636" t="str">
        <f t="shared" si="46"/>
        <v>ID.RA-43</v>
      </c>
      <c r="G742" s="636" t="str">
        <f t="shared" ca="1" si="47"/>
        <v>ID.RA-430</v>
      </c>
    </row>
    <row r="743" spans="1:7" x14ac:dyDescent="0.25">
      <c r="A743" t="s">
        <v>185</v>
      </c>
      <c r="B743" s="556">
        <v>3</v>
      </c>
      <c r="C743" t="s">
        <v>446</v>
      </c>
      <c r="D743" t="s">
        <v>1552</v>
      </c>
      <c r="E743" s="556">
        <f ca="1">VLOOKUP(A743,Data!C:I,7,FALSE)</f>
        <v>0</v>
      </c>
      <c r="F743" s="636" t="str">
        <f t="shared" si="46"/>
        <v>ID.RA-53</v>
      </c>
      <c r="G743" s="636" t="str">
        <f t="shared" ca="1" si="47"/>
        <v>ID.RA-530</v>
      </c>
    </row>
    <row r="744" spans="1:7" x14ac:dyDescent="0.25">
      <c r="A744" t="s">
        <v>185</v>
      </c>
      <c r="B744" s="556">
        <v>3</v>
      </c>
      <c r="C744" t="s">
        <v>1503</v>
      </c>
      <c r="D744" t="s">
        <v>1611</v>
      </c>
      <c r="E744" s="556">
        <f ca="1">VLOOKUP(A744,Data!C:I,7,FALSE)</f>
        <v>0</v>
      </c>
      <c r="F744" s="636" t="str">
        <f t="shared" si="46"/>
        <v>RS.AN-53</v>
      </c>
      <c r="G744" s="636" t="str">
        <f t="shared" ca="1" si="47"/>
        <v>RS.AN-530</v>
      </c>
    </row>
    <row r="745" spans="1:7" x14ac:dyDescent="0.25">
      <c r="A745" t="s">
        <v>185</v>
      </c>
      <c r="B745" s="556">
        <v>3</v>
      </c>
      <c r="C745" t="s">
        <v>1503</v>
      </c>
      <c r="D745" t="s">
        <v>1575</v>
      </c>
      <c r="E745" s="556">
        <f ca="1">VLOOKUP(A745,Data!C:I,7,FALSE)</f>
        <v>0</v>
      </c>
      <c r="F745" s="636" t="str">
        <f t="shared" si="46"/>
        <v>RS.CO-33</v>
      </c>
      <c r="G745" s="636" t="str">
        <f t="shared" ca="1" si="47"/>
        <v>RS.CO-330</v>
      </c>
    </row>
    <row r="746" spans="1:7" x14ac:dyDescent="0.25">
      <c r="A746" t="s">
        <v>185</v>
      </c>
      <c r="B746" s="556">
        <v>3</v>
      </c>
      <c r="C746" t="s">
        <v>1503</v>
      </c>
      <c r="D746" t="s">
        <v>1601</v>
      </c>
      <c r="E746" s="556">
        <f ca="1">VLOOKUP(A746,Data!C:I,7,FALSE)</f>
        <v>0</v>
      </c>
      <c r="F746" s="636" t="str">
        <f t="shared" si="46"/>
        <v>RS.MI-33</v>
      </c>
      <c r="G746" s="636" t="str">
        <f t="shared" ca="1" si="47"/>
        <v>RS.MI-330</v>
      </c>
    </row>
    <row r="747" spans="1:7" x14ac:dyDescent="0.25">
      <c r="A747" t="s">
        <v>187</v>
      </c>
      <c r="B747" s="556">
        <v>3</v>
      </c>
      <c r="C747" t="s">
        <v>1503</v>
      </c>
      <c r="D747" t="s">
        <v>1611</v>
      </c>
      <c r="E747" s="556">
        <f ca="1">VLOOKUP(A747,Data!C:I,7,FALSE)</f>
        <v>0</v>
      </c>
      <c r="F747" s="636" t="str">
        <f t="shared" si="46"/>
        <v>RS.AN-53</v>
      </c>
      <c r="G747" s="636" t="str">
        <f t="shared" ca="1" si="47"/>
        <v>RS.AN-530</v>
      </c>
    </row>
    <row r="748" spans="1:7" x14ac:dyDescent="0.25">
      <c r="A748" t="s">
        <v>187</v>
      </c>
      <c r="B748" s="556">
        <v>3</v>
      </c>
      <c r="C748" t="s">
        <v>1503</v>
      </c>
      <c r="D748" t="s">
        <v>1601</v>
      </c>
      <c r="E748" s="556">
        <f ca="1">VLOOKUP(A748,Data!C:I,7,FALSE)</f>
        <v>0</v>
      </c>
      <c r="F748" s="636" t="str">
        <f t="shared" si="46"/>
        <v>RS.MI-33</v>
      </c>
      <c r="G748" s="636" t="str">
        <f t="shared" ca="1" si="47"/>
        <v>RS.MI-330</v>
      </c>
    </row>
    <row r="749" spans="1:7" x14ac:dyDescent="0.25">
      <c r="A749" t="s">
        <v>189</v>
      </c>
      <c r="B749" s="556">
        <v>1</v>
      </c>
      <c r="C749" t="s">
        <v>446</v>
      </c>
      <c r="D749" t="s">
        <v>1610</v>
      </c>
      <c r="E749" s="556">
        <f ca="1">VLOOKUP(A749,Data!C:I,7,FALSE)</f>
        <v>0</v>
      </c>
      <c r="F749" s="636" t="str">
        <f t="shared" si="46"/>
        <v>ID.RA-21</v>
      </c>
      <c r="G749" s="636" t="str">
        <f t="shared" ca="1" si="47"/>
        <v>ID.RA-210</v>
      </c>
    </row>
    <row r="750" spans="1:7" x14ac:dyDescent="0.25">
      <c r="A750" t="s">
        <v>189</v>
      </c>
      <c r="B750" s="556">
        <v>1</v>
      </c>
      <c r="C750" t="s">
        <v>446</v>
      </c>
      <c r="D750" t="s">
        <v>1612</v>
      </c>
      <c r="E750" s="556">
        <f ca="1">VLOOKUP(A750,Data!C:I,7,FALSE)</f>
        <v>0</v>
      </c>
      <c r="F750" s="636" t="str">
        <f t="shared" si="46"/>
        <v>ID.RA-31</v>
      </c>
      <c r="G750" s="636" t="str">
        <f t="shared" ca="1" si="47"/>
        <v>ID.RA-310</v>
      </c>
    </row>
    <row r="751" spans="1:7" x14ac:dyDescent="0.25">
      <c r="A751" t="s">
        <v>190</v>
      </c>
      <c r="B751" s="556">
        <v>1</v>
      </c>
      <c r="C751" t="s">
        <v>446</v>
      </c>
      <c r="D751" t="s">
        <v>1610</v>
      </c>
      <c r="E751" s="556">
        <f ca="1">VLOOKUP(A751,Data!C:I,7,FALSE)</f>
        <v>0</v>
      </c>
      <c r="F751" s="636" t="str">
        <f t="shared" si="46"/>
        <v>ID.RA-21</v>
      </c>
      <c r="G751" s="636" t="str">
        <f t="shared" ca="1" si="47"/>
        <v>ID.RA-210</v>
      </c>
    </row>
    <row r="752" spans="1:7" x14ac:dyDescent="0.25">
      <c r="A752" t="s">
        <v>190</v>
      </c>
      <c r="B752" s="556">
        <v>1</v>
      </c>
      <c r="C752" t="s">
        <v>446</v>
      </c>
      <c r="D752" t="s">
        <v>1612</v>
      </c>
      <c r="E752" s="556">
        <f ca="1">VLOOKUP(A752,Data!C:I,7,FALSE)</f>
        <v>0</v>
      </c>
      <c r="F752" s="636" t="str">
        <f t="shared" si="46"/>
        <v>ID.RA-31</v>
      </c>
      <c r="G752" s="636" t="str">
        <f t="shared" ca="1" si="47"/>
        <v>ID.RA-310</v>
      </c>
    </row>
    <row r="753" spans="1:7" x14ac:dyDescent="0.25">
      <c r="A753" t="s">
        <v>191</v>
      </c>
      <c r="B753" s="556">
        <v>1</v>
      </c>
      <c r="C753" t="s">
        <v>1501</v>
      </c>
      <c r="D753" t="s">
        <v>1546</v>
      </c>
      <c r="E753" s="556">
        <f ca="1">VLOOKUP(A753,Data!C:I,7,FALSE)</f>
        <v>0</v>
      </c>
      <c r="F753" s="636" t="str">
        <f t="shared" si="46"/>
        <v>PR.DS-11</v>
      </c>
      <c r="G753" s="636" t="str">
        <f t="shared" ca="1" si="47"/>
        <v>PR.DS-110</v>
      </c>
    </row>
    <row r="754" spans="1:7" x14ac:dyDescent="0.25">
      <c r="A754" t="s">
        <v>191</v>
      </c>
      <c r="B754" s="556">
        <v>1</v>
      </c>
      <c r="C754" t="s">
        <v>1501</v>
      </c>
      <c r="D754" t="s">
        <v>1547</v>
      </c>
      <c r="E754" s="556">
        <f ca="1">VLOOKUP(A754,Data!C:I,7,FALSE)</f>
        <v>0</v>
      </c>
      <c r="F754" s="636" t="str">
        <f t="shared" si="46"/>
        <v>PR.DS-21</v>
      </c>
      <c r="G754" s="636" t="str">
        <f t="shared" ca="1" si="47"/>
        <v>PR.DS-210</v>
      </c>
    </row>
    <row r="755" spans="1:7" x14ac:dyDescent="0.25">
      <c r="A755" t="s">
        <v>191</v>
      </c>
      <c r="B755" s="556">
        <v>1</v>
      </c>
      <c r="C755" t="s">
        <v>1501</v>
      </c>
      <c r="D755" t="s">
        <v>1534</v>
      </c>
      <c r="E755" s="556">
        <f ca="1">VLOOKUP(A755,Data!C:I,7,FALSE)</f>
        <v>0</v>
      </c>
      <c r="F755" s="636" t="str">
        <f t="shared" si="46"/>
        <v>PR.DS-41</v>
      </c>
      <c r="G755" s="636" t="str">
        <f t="shared" ca="1" si="47"/>
        <v>PR.DS-410</v>
      </c>
    </row>
    <row r="756" spans="1:7" x14ac:dyDescent="0.25">
      <c r="A756" t="s">
        <v>191</v>
      </c>
      <c r="B756" s="556">
        <v>1</v>
      </c>
      <c r="C756" t="s">
        <v>1501</v>
      </c>
      <c r="D756" t="s">
        <v>1535</v>
      </c>
      <c r="E756" s="556">
        <f ca="1">VLOOKUP(A756,Data!C:I,7,FALSE)</f>
        <v>0</v>
      </c>
      <c r="F756" s="636" t="str">
        <f t="shared" si="46"/>
        <v>PR.DS-51</v>
      </c>
      <c r="G756" s="636" t="str">
        <f t="shared" ca="1" si="47"/>
        <v>PR.DS-510</v>
      </c>
    </row>
    <row r="757" spans="1:7" x14ac:dyDescent="0.25">
      <c r="A757" t="s">
        <v>192</v>
      </c>
      <c r="B757" s="556">
        <v>2</v>
      </c>
      <c r="C757" t="s">
        <v>446</v>
      </c>
      <c r="D757" t="s">
        <v>1612</v>
      </c>
      <c r="E757" s="556">
        <f ca="1">VLOOKUP(A757,Data!C:I,7,FALSE)</f>
        <v>0</v>
      </c>
      <c r="F757" s="636" t="str">
        <f t="shared" si="46"/>
        <v>ID.RA-32</v>
      </c>
      <c r="G757" s="636" t="str">
        <f t="shared" ca="1" si="47"/>
        <v>ID.RA-320</v>
      </c>
    </row>
    <row r="758" spans="1:7" x14ac:dyDescent="0.25">
      <c r="A758" t="s">
        <v>192</v>
      </c>
      <c r="B758" s="556">
        <v>2</v>
      </c>
      <c r="C758" t="s">
        <v>446</v>
      </c>
      <c r="D758" t="s">
        <v>1613</v>
      </c>
      <c r="E758" s="556">
        <f ca="1">VLOOKUP(A758,Data!C:I,7,FALSE)</f>
        <v>0</v>
      </c>
      <c r="F758" s="636" t="str">
        <f t="shared" si="46"/>
        <v>ID.RA-42</v>
      </c>
      <c r="G758" s="636" t="str">
        <f t="shared" ca="1" si="47"/>
        <v>ID.RA-420</v>
      </c>
    </row>
    <row r="759" spans="1:7" x14ac:dyDescent="0.25">
      <c r="A759" t="s">
        <v>192</v>
      </c>
      <c r="B759" s="556">
        <v>2</v>
      </c>
      <c r="C759" t="s">
        <v>446</v>
      </c>
      <c r="D759" t="s">
        <v>1602</v>
      </c>
      <c r="E759" s="556">
        <f ca="1">VLOOKUP(A759,Data!C:I,7,FALSE)</f>
        <v>0</v>
      </c>
      <c r="F759" s="636" t="str">
        <f t="shared" si="46"/>
        <v>ID.RA-62</v>
      </c>
      <c r="G759" s="636" t="str">
        <f t="shared" ca="1" si="47"/>
        <v>ID.RA-620</v>
      </c>
    </row>
    <row r="760" spans="1:7" x14ac:dyDescent="0.25">
      <c r="A760" t="s">
        <v>193</v>
      </c>
      <c r="B760" s="556">
        <v>2</v>
      </c>
      <c r="C760" t="s">
        <v>446</v>
      </c>
      <c r="D760" t="s">
        <v>1610</v>
      </c>
      <c r="E760" s="556">
        <f ca="1">VLOOKUP(A760,Data!C:I,7,FALSE)</f>
        <v>0</v>
      </c>
      <c r="F760" s="636" t="str">
        <f t="shared" si="46"/>
        <v>ID.RA-22</v>
      </c>
      <c r="G760" s="636" t="str">
        <f t="shared" ca="1" si="47"/>
        <v>ID.RA-220</v>
      </c>
    </row>
    <row r="761" spans="1:7" x14ac:dyDescent="0.25">
      <c r="A761" t="s">
        <v>193</v>
      </c>
      <c r="B761" s="556">
        <v>2</v>
      </c>
      <c r="C761" t="s">
        <v>446</v>
      </c>
      <c r="D761" t="s">
        <v>1612</v>
      </c>
      <c r="E761" s="556">
        <f ca="1">VLOOKUP(A761,Data!C:I,7,FALSE)</f>
        <v>0</v>
      </c>
      <c r="F761" s="636" t="str">
        <f t="shared" si="46"/>
        <v>ID.RA-32</v>
      </c>
      <c r="G761" s="636" t="str">
        <f t="shared" ca="1" si="47"/>
        <v>ID.RA-320</v>
      </c>
    </row>
    <row r="762" spans="1:7" x14ac:dyDescent="0.25">
      <c r="A762" t="s">
        <v>194</v>
      </c>
      <c r="B762" s="556">
        <v>2</v>
      </c>
      <c r="C762" t="s">
        <v>446</v>
      </c>
      <c r="D762" t="s">
        <v>1612</v>
      </c>
      <c r="E762" s="556">
        <f ca="1">VLOOKUP(A762,Data!C:I,7,FALSE)</f>
        <v>0</v>
      </c>
      <c r="F762" s="636" t="str">
        <f t="shared" si="46"/>
        <v>ID.RA-32</v>
      </c>
      <c r="G762" s="636" t="str">
        <f t="shared" ca="1" si="47"/>
        <v>ID.RA-320</v>
      </c>
    </row>
    <row r="763" spans="1:7" x14ac:dyDescent="0.25">
      <c r="A763" t="s">
        <v>194</v>
      </c>
      <c r="B763" s="556">
        <v>2</v>
      </c>
      <c r="C763" t="s">
        <v>446</v>
      </c>
      <c r="D763" t="s">
        <v>1613</v>
      </c>
      <c r="E763" s="556">
        <f ca="1">VLOOKUP(A763,Data!C:I,7,FALSE)</f>
        <v>0</v>
      </c>
      <c r="F763" s="636" t="str">
        <f t="shared" si="46"/>
        <v>ID.RA-42</v>
      </c>
      <c r="G763" s="636" t="str">
        <f t="shared" ca="1" si="47"/>
        <v>ID.RA-420</v>
      </c>
    </row>
    <row r="764" spans="1:7" x14ac:dyDescent="0.25">
      <c r="A764" t="s">
        <v>196</v>
      </c>
      <c r="B764" s="556">
        <v>3</v>
      </c>
      <c r="C764" t="s">
        <v>446</v>
      </c>
      <c r="D764" t="s">
        <v>1612</v>
      </c>
      <c r="E764" s="556">
        <f ca="1">VLOOKUP(A764,Data!C:I,7,FALSE)</f>
        <v>0</v>
      </c>
      <c r="F764" s="636" t="str">
        <f t="shared" si="46"/>
        <v>ID.RA-33</v>
      </c>
      <c r="G764" s="636" t="str">
        <f t="shared" ca="1" si="47"/>
        <v>ID.RA-330</v>
      </c>
    </row>
    <row r="765" spans="1:7" x14ac:dyDescent="0.25">
      <c r="A765" t="s">
        <v>196</v>
      </c>
      <c r="B765" s="556">
        <v>3</v>
      </c>
      <c r="C765" t="s">
        <v>446</v>
      </c>
      <c r="D765" t="s">
        <v>1613</v>
      </c>
      <c r="E765" s="556">
        <f ca="1">VLOOKUP(A765,Data!C:I,7,FALSE)</f>
        <v>0</v>
      </c>
      <c r="F765" s="636" t="str">
        <f t="shared" si="46"/>
        <v>ID.RA-43</v>
      </c>
      <c r="G765" s="636" t="str">
        <f t="shared" ca="1" si="47"/>
        <v>ID.RA-430</v>
      </c>
    </row>
    <row r="766" spans="1:7" x14ac:dyDescent="0.25">
      <c r="A766" t="s">
        <v>196</v>
      </c>
      <c r="B766" s="556">
        <v>3</v>
      </c>
      <c r="C766" t="s">
        <v>446</v>
      </c>
      <c r="D766" t="s">
        <v>1602</v>
      </c>
      <c r="E766" s="556">
        <f ca="1">VLOOKUP(A766,Data!C:I,7,FALSE)</f>
        <v>0</v>
      </c>
      <c r="F766" s="636" t="str">
        <f t="shared" si="46"/>
        <v>ID.RA-63</v>
      </c>
      <c r="G766" s="636" t="str">
        <f t="shared" ca="1" si="47"/>
        <v>ID.RA-630</v>
      </c>
    </row>
    <row r="767" spans="1:7" x14ac:dyDescent="0.25">
      <c r="A767" t="s">
        <v>197</v>
      </c>
      <c r="B767" s="556">
        <v>3</v>
      </c>
      <c r="C767" t="s">
        <v>1502</v>
      </c>
      <c r="D767" t="s">
        <v>1579</v>
      </c>
      <c r="E767" s="556">
        <f ca="1">VLOOKUP(A767,Data!C:I,7,FALSE)</f>
        <v>0</v>
      </c>
      <c r="F767" s="636" t="str">
        <f t="shared" si="46"/>
        <v>DE.DP-43</v>
      </c>
      <c r="G767" s="636" t="str">
        <f t="shared" ca="1" si="47"/>
        <v>DE.DP-430</v>
      </c>
    </row>
    <row r="768" spans="1:7" x14ac:dyDescent="0.25">
      <c r="A768" t="s">
        <v>197</v>
      </c>
      <c r="B768" s="556">
        <v>3</v>
      </c>
      <c r="C768" t="s">
        <v>446</v>
      </c>
      <c r="D768" t="s">
        <v>1612</v>
      </c>
      <c r="E768" s="556">
        <f ca="1">VLOOKUP(A768,Data!C:I,7,FALSE)</f>
        <v>0</v>
      </c>
      <c r="F768" s="636" t="str">
        <f t="shared" si="46"/>
        <v>ID.RA-33</v>
      </c>
      <c r="G768" s="636" t="str">
        <f t="shared" ca="1" si="47"/>
        <v>ID.RA-330</v>
      </c>
    </row>
    <row r="769" spans="1:7" x14ac:dyDescent="0.25">
      <c r="A769" t="s">
        <v>197</v>
      </c>
      <c r="B769" s="556">
        <v>3</v>
      </c>
      <c r="C769" t="s">
        <v>446</v>
      </c>
      <c r="D769" t="s">
        <v>1613</v>
      </c>
      <c r="E769" s="556">
        <f ca="1">VLOOKUP(A769,Data!C:I,7,FALSE)</f>
        <v>0</v>
      </c>
      <c r="F769" s="636" t="str">
        <f t="shared" si="46"/>
        <v>ID.RA-43</v>
      </c>
      <c r="G769" s="636" t="str">
        <f t="shared" ca="1" si="47"/>
        <v>ID.RA-430</v>
      </c>
    </row>
    <row r="770" spans="1:7" x14ac:dyDescent="0.25">
      <c r="A770" t="s">
        <v>197</v>
      </c>
      <c r="B770" s="556">
        <v>3</v>
      </c>
      <c r="C770" t="s">
        <v>446</v>
      </c>
      <c r="D770" t="s">
        <v>1602</v>
      </c>
      <c r="E770" s="556">
        <f ca="1">VLOOKUP(A770,Data!C:I,7,FALSE)</f>
        <v>0</v>
      </c>
      <c r="F770" s="636" t="str">
        <f t="shared" si="46"/>
        <v>ID.RA-63</v>
      </c>
      <c r="G770" s="636" t="str">
        <f t="shared" ca="1" si="47"/>
        <v>ID.RA-630</v>
      </c>
    </row>
    <row r="771" spans="1:7" x14ac:dyDescent="0.25">
      <c r="A771" t="s">
        <v>197</v>
      </c>
      <c r="B771" s="556">
        <v>3</v>
      </c>
      <c r="C771" t="s">
        <v>1503</v>
      </c>
      <c r="D771" t="s">
        <v>1575</v>
      </c>
      <c r="E771" s="556">
        <f ca="1">VLOOKUP(A771,Data!C:I,7,FALSE)</f>
        <v>0</v>
      </c>
      <c r="F771" s="636" t="str">
        <f t="shared" ref="F771:F834" si="48">CONCATENATE($D771,$B771)</f>
        <v>RS.CO-33</v>
      </c>
      <c r="G771" s="636" t="str">
        <f t="shared" ref="G771:G834" ca="1" si="49">_xlfn.IFNA(CONCATENATE(F771,$E771),CONCATENATE(F771,$E771,0))</f>
        <v>RS.CO-330</v>
      </c>
    </row>
    <row r="772" spans="1:7" x14ac:dyDescent="0.25">
      <c r="A772" t="s">
        <v>199</v>
      </c>
      <c r="B772" s="556">
        <v>3</v>
      </c>
      <c r="C772" t="s">
        <v>1502</v>
      </c>
      <c r="D772" t="s">
        <v>1584</v>
      </c>
      <c r="E772" s="556">
        <f ca="1">VLOOKUP(A772,Data!C:I,7,FALSE)</f>
        <v>0</v>
      </c>
      <c r="F772" s="636" t="str">
        <f t="shared" si="48"/>
        <v>DE.AE-53</v>
      </c>
      <c r="G772" s="636" t="str">
        <f t="shared" ca="1" si="49"/>
        <v>DE.AE-530</v>
      </c>
    </row>
    <row r="773" spans="1:7" x14ac:dyDescent="0.25">
      <c r="A773" t="s">
        <v>199</v>
      </c>
      <c r="B773" s="556">
        <v>3</v>
      </c>
      <c r="C773" t="s">
        <v>1501</v>
      </c>
      <c r="D773" t="s">
        <v>1614</v>
      </c>
      <c r="E773" s="556">
        <f ca="1">VLOOKUP(A773,Data!C:I,7,FALSE)</f>
        <v>0</v>
      </c>
      <c r="F773" s="636" t="str">
        <f t="shared" si="48"/>
        <v>PR.IP-123</v>
      </c>
      <c r="G773" s="636" t="str">
        <f t="shared" ca="1" si="49"/>
        <v>PR.IP-1230</v>
      </c>
    </row>
    <row r="774" spans="1:7" x14ac:dyDescent="0.25">
      <c r="A774" t="s">
        <v>201</v>
      </c>
      <c r="B774" s="556">
        <v>3</v>
      </c>
      <c r="C774" t="s">
        <v>1502</v>
      </c>
      <c r="D774" t="s">
        <v>1579</v>
      </c>
      <c r="E774" s="556">
        <f ca="1">VLOOKUP(A774,Data!C:I,7,FALSE)</f>
        <v>0</v>
      </c>
      <c r="F774" s="636" t="str">
        <f t="shared" si="48"/>
        <v>DE.DP-43</v>
      </c>
      <c r="G774" s="636" t="str">
        <f t="shared" ca="1" si="49"/>
        <v>DE.DP-430</v>
      </c>
    </row>
    <row r="775" spans="1:7" x14ac:dyDescent="0.25">
      <c r="A775" t="s">
        <v>201</v>
      </c>
      <c r="B775" s="556">
        <v>3</v>
      </c>
      <c r="C775" t="s">
        <v>446</v>
      </c>
      <c r="D775" t="s">
        <v>1610</v>
      </c>
      <c r="E775" s="556">
        <f ca="1">VLOOKUP(A775,Data!C:I,7,FALSE)</f>
        <v>0</v>
      </c>
      <c r="F775" s="636" t="str">
        <f t="shared" si="48"/>
        <v>ID.RA-23</v>
      </c>
      <c r="G775" s="636" t="str">
        <f t="shared" ca="1" si="49"/>
        <v>ID.RA-230</v>
      </c>
    </row>
    <row r="776" spans="1:7" x14ac:dyDescent="0.25">
      <c r="A776" t="s">
        <v>201</v>
      </c>
      <c r="B776" s="556">
        <v>3</v>
      </c>
      <c r="C776" t="s">
        <v>446</v>
      </c>
      <c r="D776" t="s">
        <v>1612</v>
      </c>
      <c r="E776" s="556">
        <f ca="1">VLOOKUP(A776,Data!C:I,7,FALSE)</f>
        <v>0</v>
      </c>
      <c r="F776" s="636" t="str">
        <f t="shared" si="48"/>
        <v>ID.RA-33</v>
      </c>
      <c r="G776" s="636" t="str">
        <f t="shared" ca="1" si="49"/>
        <v>ID.RA-330</v>
      </c>
    </row>
    <row r="777" spans="1:7" x14ac:dyDescent="0.25">
      <c r="A777" t="s">
        <v>201</v>
      </c>
      <c r="B777" s="556">
        <v>3</v>
      </c>
      <c r="C777" t="s">
        <v>1503</v>
      </c>
      <c r="D777" t="s">
        <v>1611</v>
      </c>
      <c r="E777" s="556">
        <f ca="1">VLOOKUP(A777,Data!C:I,7,FALSE)</f>
        <v>0</v>
      </c>
      <c r="F777" s="636" t="str">
        <f t="shared" si="48"/>
        <v>RS.AN-53</v>
      </c>
      <c r="G777" s="636" t="str">
        <f t="shared" ca="1" si="49"/>
        <v>RS.AN-530</v>
      </c>
    </row>
    <row r="778" spans="1:7" x14ac:dyDescent="0.25">
      <c r="A778" t="s">
        <v>201</v>
      </c>
      <c r="B778" s="556">
        <v>3</v>
      </c>
      <c r="C778" t="s">
        <v>1503</v>
      </c>
      <c r="D778" t="s">
        <v>1575</v>
      </c>
      <c r="E778" s="556">
        <f ca="1">VLOOKUP(A778,Data!C:I,7,FALSE)</f>
        <v>0</v>
      </c>
      <c r="F778" s="636" t="str">
        <f t="shared" si="48"/>
        <v>RS.CO-33</v>
      </c>
      <c r="G778" s="636" t="str">
        <f t="shared" ca="1" si="49"/>
        <v>RS.CO-330</v>
      </c>
    </row>
    <row r="779" spans="1:7" x14ac:dyDescent="0.25">
      <c r="A779" t="s">
        <v>201</v>
      </c>
      <c r="B779" s="556">
        <v>3</v>
      </c>
      <c r="C779" t="s">
        <v>1503</v>
      </c>
      <c r="D779" t="s">
        <v>1606</v>
      </c>
      <c r="E779" s="556">
        <f ca="1">VLOOKUP(A779,Data!C:I,7,FALSE)</f>
        <v>0</v>
      </c>
      <c r="F779" s="636" t="str">
        <f t="shared" si="48"/>
        <v>RS.CO-53</v>
      </c>
      <c r="G779" s="636" t="str">
        <f t="shared" ca="1" si="49"/>
        <v>RS.CO-530</v>
      </c>
    </row>
    <row r="780" spans="1:7" x14ac:dyDescent="0.25">
      <c r="A780" t="s">
        <v>205</v>
      </c>
      <c r="B780" s="556">
        <v>2</v>
      </c>
      <c r="C780" t="s">
        <v>1501</v>
      </c>
      <c r="D780" t="s">
        <v>1614</v>
      </c>
      <c r="E780" s="556">
        <f ca="1">VLOOKUP(A780,Data!C:I,7,FALSE)</f>
        <v>0</v>
      </c>
      <c r="F780" s="636" t="str">
        <f t="shared" si="48"/>
        <v>PR.IP-122</v>
      </c>
      <c r="G780" s="636" t="str">
        <f t="shared" ca="1" si="49"/>
        <v>PR.IP-1220</v>
      </c>
    </row>
    <row r="781" spans="1:7" x14ac:dyDescent="0.25">
      <c r="A781" t="s">
        <v>206</v>
      </c>
      <c r="B781" s="556">
        <v>2</v>
      </c>
      <c r="C781" t="s">
        <v>1501</v>
      </c>
      <c r="D781" t="s">
        <v>1614</v>
      </c>
      <c r="E781" s="556">
        <f ca="1">VLOOKUP(A781,Data!C:I,7,FALSE)</f>
        <v>0</v>
      </c>
      <c r="F781" s="636" t="str">
        <f t="shared" si="48"/>
        <v>PR.IP-122</v>
      </c>
      <c r="G781" s="636" t="str">
        <f t="shared" ca="1" si="49"/>
        <v>PR.IP-1220</v>
      </c>
    </row>
    <row r="782" spans="1:7" x14ac:dyDescent="0.25">
      <c r="A782" t="s">
        <v>207</v>
      </c>
      <c r="B782" s="556">
        <v>3</v>
      </c>
      <c r="C782" t="s">
        <v>1501</v>
      </c>
      <c r="D782" t="s">
        <v>1614</v>
      </c>
      <c r="E782" s="556">
        <f ca="1">VLOOKUP(A782,Data!C:I,7,FALSE)</f>
        <v>0</v>
      </c>
      <c r="F782" s="636" t="str">
        <f t="shared" si="48"/>
        <v>PR.IP-123</v>
      </c>
      <c r="G782" s="636" t="str">
        <f t="shared" ca="1" si="49"/>
        <v>PR.IP-1230</v>
      </c>
    </row>
    <row r="783" spans="1:7" x14ac:dyDescent="0.25">
      <c r="A783" t="s">
        <v>209</v>
      </c>
      <c r="B783" s="556">
        <v>3</v>
      </c>
      <c r="C783" t="s">
        <v>446</v>
      </c>
      <c r="D783" t="s">
        <v>1529</v>
      </c>
      <c r="E783" s="556">
        <f ca="1">VLOOKUP(A783,Data!C:I,7,FALSE)</f>
        <v>0</v>
      </c>
      <c r="F783" s="636" t="str">
        <f t="shared" si="48"/>
        <v>ID.AM-63</v>
      </c>
      <c r="G783" s="636" t="str">
        <f t="shared" ca="1" si="49"/>
        <v>ID.AM-630</v>
      </c>
    </row>
    <row r="784" spans="1:7" x14ac:dyDescent="0.25">
      <c r="A784" t="s">
        <v>209</v>
      </c>
      <c r="B784" s="556">
        <v>3</v>
      </c>
      <c r="C784" t="s">
        <v>446</v>
      </c>
      <c r="D784" t="s">
        <v>1530</v>
      </c>
      <c r="E784" s="556">
        <f ca="1">VLOOKUP(A784,Data!C:I,7,FALSE)</f>
        <v>0</v>
      </c>
      <c r="F784" s="636" t="str">
        <f t="shared" si="48"/>
        <v>ID.GV-23</v>
      </c>
      <c r="G784" s="636" t="str">
        <f t="shared" ca="1" si="49"/>
        <v>ID.GV-230</v>
      </c>
    </row>
    <row r="785" spans="1:7" x14ac:dyDescent="0.25">
      <c r="A785" t="s">
        <v>210</v>
      </c>
      <c r="B785" s="556">
        <v>3</v>
      </c>
      <c r="C785" t="s">
        <v>1501</v>
      </c>
      <c r="D785" t="s">
        <v>1531</v>
      </c>
      <c r="E785" s="556">
        <f ca="1">VLOOKUP(A785,Data!C:I,7,FALSE)</f>
        <v>0</v>
      </c>
      <c r="F785" s="636" t="str">
        <f t="shared" si="48"/>
        <v>PR.IP-83</v>
      </c>
      <c r="G785" s="636" t="str">
        <f t="shared" ca="1" si="49"/>
        <v>PR.IP-830</v>
      </c>
    </row>
    <row r="786" spans="1:7" x14ac:dyDescent="0.25">
      <c r="A786" t="s">
        <v>274</v>
      </c>
      <c r="B786" s="556">
        <v>1</v>
      </c>
      <c r="C786" t="s">
        <v>1502</v>
      </c>
      <c r="D786" t="s">
        <v>1578</v>
      </c>
      <c r="E786" s="556">
        <f ca="1">VLOOKUP(A786,Data!C:I,7,FALSE)</f>
        <v>0</v>
      </c>
      <c r="F786" s="636" t="str">
        <f t="shared" si="48"/>
        <v>DE.DP-11</v>
      </c>
      <c r="G786" s="636" t="str">
        <f t="shared" ca="1" si="49"/>
        <v>DE.DP-110</v>
      </c>
    </row>
    <row r="787" spans="1:7" x14ac:dyDescent="0.25">
      <c r="A787" t="s">
        <v>274</v>
      </c>
      <c r="B787" s="556">
        <v>1</v>
      </c>
      <c r="C787" t="s">
        <v>446</v>
      </c>
      <c r="D787" t="s">
        <v>1529</v>
      </c>
      <c r="E787" s="556">
        <f ca="1">VLOOKUP(A787,Data!C:I,7,FALSE)</f>
        <v>0</v>
      </c>
      <c r="F787" s="636" t="str">
        <f t="shared" si="48"/>
        <v>ID.AM-61</v>
      </c>
      <c r="G787" s="636" t="str">
        <f t="shared" ca="1" si="49"/>
        <v>ID.AM-610</v>
      </c>
    </row>
    <row r="788" spans="1:7" x14ac:dyDescent="0.25">
      <c r="A788" t="s">
        <v>274</v>
      </c>
      <c r="B788" s="556">
        <v>1</v>
      </c>
      <c r="C788" t="s">
        <v>446</v>
      </c>
      <c r="D788" t="s">
        <v>1530</v>
      </c>
      <c r="E788" s="556">
        <f ca="1">VLOOKUP(A788,Data!C:I,7,FALSE)</f>
        <v>0</v>
      </c>
      <c r="F788" s="636" t="str">
        <f t="shared" si="48"/>
        <v>ID.GV-21</v>
      </c>
      <c r="G788" s="636" t="str">
        <f t="shared" ca="1" si="49"/>
        <v>ID.GV-210</v>
      </c>
    </row>
    <row r="789" spans="1:7" x14ac:dyDescent="0.25">
      <c r="A789" t="s">
        <v>274</v>
      </c>
      <c r="B789" s="556">
        <v>1</v>
      </c>
      <c r="C789" t="s">
        <v>1501</v>
      </c>
      <c r="D789" t="s">
        <v>1615</v>
      </c>
      <c r="E789" s="556">
        <f ca="1">VLOOKUP(A789,Data!C:I,7,FALSE)</f>
        <v>0</v>
      </c>
      <c r="F789" s="636" t="str">
        <f t="shared" si="48"/>
        <v>PR.AT-21</v>
      </c>
      <c r="G789" s="636" t="str">
        <f t="shared" ca="1" si="49"/>
        <v>PR.AT-210</v>
      </c>
    </row>
    <row r="790" spans="1:7" x14ac:dyDescent="0.25">
      <c r="A790" t="s">
        <v>274</v>
      </c>
      <c r="B790" s="556">
        <v>1</v>
      </c>
      <c r="C790" t="s">
        <v>1501</v>
      </c>
      <c r="D790" t="s">
        <v>1616</v>
      </c>
      <c r="E790" s="556">
        <f ca="1">VLOOKUP(A790,Data!C:I,7,FALSE)</f>
        <v>0</v>
      </c>
      <c r="F790" s="636" t="str">
        <f t="shared" si="48"/>
        <v>PR.AT-31</v>
      </c>
      <c r="G790" s="636" t="str">
        <f t="shared" ca="1" si="49"/>
        <v>PR.AT-310</v>
      </c>
    </row>
    <row r="791" spans="1:7" x14ac:dyDescent="0.25">
      <c r="A791" t="s">
        <v>274</v>
      </c>
      <c r="B791" s="556">
        <v>1</v>
      </c>
      <c r="C791" t="s">
        <v>1501</v>
      </c>
      <c r="D791" t="s">
        <v>1565</v>
      </c>
      <c r="E791" s="556">
        <f ca="1">VLOOKUP(A791,Data!C:I,7,FALSE)</f>
        <v>0</v>
      </c>
      <c r="F791" s="636" t="str">
        <f t="shared" si="48"/>
        <v>PR.AT-41</v>
      </c>
      <c r="G791" s="636" t="str">
        <f t="shared" ca="1" si="49"/>
        <v>PR.AT-410</v>
      </c>
    </row>
    <row r="792" spans="1:7" x14ac:dyDescent="0.25">
      <c r="A792" t="s">
        <v>274</v>
      </c>
      <c r="B792" s="556">
        <v>1</v>
      </c>
      <c r="C792" t="s">
        <v>1501</v>
      </c>
      <c r="D792" t="s">
        <v>1617</v>
      </c>
      <c r="E792" s="556">
        <f ca="1">VLOOKUP(A792,Data!C:I,7,FALSE)</f>
        <v>0</v>
      </c>
      <c r="F792" s="636" t="str">
        <f t="shared" si="48"/>
        <v>PR.AT-51</v>
      </c>
      <c r="G792" s="636" t="str">
        <f t="shared" ca="1" si="49"/>
        <v>PR.AT-510</v>
      </c>
    </row>
    <row r="793" spans="1:7" x14ac:dyDescent="0.25">
      <c r="A793" t="s">
        <v>275</v>
      </c>
      <c r="B793" s="556">
        <v>1</v>
      </c>
      <c r="C793" t="s">
        <v>1502</v>
      </c>
      <c r="D793" t="s">
        <v>1578</v>
      </c>
      <c r="E793" s="556">
        <f ca="1">VLOOKUP(A793,Data!C:I,7,FALSE)</f>
        <v>0</v>
      </c>
      <c r="F793" s="636" t="str">
        <f t="shared" si="48"/>
        <v>DE.DP-11</v>
      </c>
      <c r="G793" s="636" t="str">
        <f t="shared" ca="1" si="49"/>
        <v>DE.DP-110</v>
      </c>
    </row>
    <row r="794" spans="1:7" x14ac:dyDescent="0.25">
      <c r="A794" t="s">
        <v>275</v>
      </c>
      <c r="B794" s="556">
        <v>1</v>
      </c>
      <c r="C794" t="s">
        <v>446</v>
      </c>
      <c r="D794" t="s">
        <v>1529</v>
      </c>
      <c r="E794" s="556">
        <f ca="1">VLOOKUP(A794,Data!C:I,7,FALSE)</f>
        <v>0</v>
      </c>
      <c r="F794" s="636" t="str">
        <f t="shared" si="48"/>
        <v>ID.AM-61</v>
      </c>
      <c r="G794" s="636" t="str">
        <f t="shared" ca="1" si="49"/>
        <v>ID.AM-610</v>
      </c>
    </row>
    <row r="795" spans="1:7" x14ac:dyDescent="0.25">
      <c r="A795" t="s">
        <v>275</v>
      </c>
      <c r="B795" s="556">
        <v>1</v>
      </c>
      <c r="C795" t="s">
        <v>446</v>
      </c>
      <c r="D795" t="s">
        <v>1530</v>
      </c>
      <c r="E795" s="556">
        <f ca="1">VLOOKUP(A795,Data!C:I,7,FALSE)</f>
        <v>0</v>
      </c>
      <c r="F795" s="636" t="str">
        <f t="shared" si="48"/>
        <v>ID.GV-21</v>
      </c>
      <c r="G795" s="636" t="str">
        <f t="shared" ca="1" si="49"/>
        <v>ID.GV-210</v>
      </c>
    </row>
    <row r="796" spans="1:7" x14ac:dyDescent="0.25">
      <c r="A796" t="s">
        <v>275</v>
      </c>
      <c r="B796" s="556">
        <v>1</v>
      </c>
      <c r="C796" t="s">
        <v>1501</v>
      </c>
      <c r="D796" t="s">
        <v>1615</v>
      </c>
      <c r="E796" s="556">
        <f ca="1">VLOOKUP(A796,Data!C:I,7,FALSE)</f>
        <v>0</v>
      </c>
      <c r="F796" s="636" t="str">
        <f t="shared" si="48"/>
        <v>PR.AT-21</v>
      </c>
      <c r="G796" s="636" t="str">
        <f t="shared" ca="1" si="49"/>
        <v>PR.AT-210</v>
      </c>
    </row>
    <row r="797" spans="1:7" x14ac:dyDescent="0.25">
      <c r="A797" t="s">
        <v>275</v>
      </c>
      <c r="B797" s="556">
        <v>1</v>
      </c>
      <c r="C797" t="s">
        <v>1501</v>
      </c>
      <c r="D797" t="s">
        <v>1616</v>
      </c>
      <c r="E797" s="556">
        <f ca="1">VLOOKUP(A797,Data!C:I,7,FALSE)</f>
        <v>0</v>
      </c>
      <c r="F797" s="636" t="str">
        <f t="shared" si="48"/>
        <v>PR.AT-31</v>
      </c>
      <c r="G797" s="636" t="str">
        <f t="shared" ca="1" si="49"/>
        <v>PR.AT-310</v>
      </c>
    </row>
    <row r="798" spans="1:7" x14ac:dyDescent="0.25">
      <c r="A798" t="s">
        <v>275</v>
      </c>
      <c r="B798" s="556">
        <v>1</v>
      </c>
      <c r="C798" t="s">
        <v>1501</v>
      </c>
      <c r="D798" t="s">
        <v>1565</v>
      </c>
      <c r="E798" s="556">
        <f ca="1">VLOOKUP(A798,Data!C:I,7,FALSE)</f>
        <v>0</v>
      </c>
      <c r="F798" s="636" t="str">
        <f t="shared" si="48"/>
        <v>PR.AT-41</v>
      </c>
      <c r="G798" s="636" t="str">
        <f t="shared" ca="1" si="49"/>
        <v>PR.AT-410</v>
      </c>
    </row>
    <row r="799" spans="1:7" x14ac:dyDescent="0.25">
      <c r="A799" t="s">
        <v>275</v>
      </c>
      <c r="B799" s="556">
        <v>1</v>
      </c>
      <c r="C799" t="s">
        <v>1501</v>
      </c>
      <c r="D799" t="s">
        <v>1617</v>
      </c>
      <c r="E799" s="556">
        <f ca="1">VLOOKUP(A799,Data!C:I,7,FALSE)</f>
        <v>0</v>
      </c>
      <c r="F799" s="636" t="str">
        <f t="shared" si="48"/>
        <v>PR.AT-51</v>
      </c>
      <c r="G799" s="636" t="str">
        <f t="shared" ca="1" si="49"/>
        <v>PR.AT-510</v>
      </c>
    </row>
    <row r="800" spans="1:7" x14ac:dyDescent="0.25">
      <c r="A800" t="s">
        <v>276</v>
      </c>
      <c r="B800" s="556">
        <v>2</v>
      </c>
      <c r="C800" t="s">
        <v>1502</v>
      </c>
      <c r="D800" t="s">
        <v>1578</v>
      </c>
      <c r="E800" s="556">
        <f ca="1">VLOOKUP(A800,Data!C:I,7,FALSE)</f>
        <v>0</v>
      </c>
      <c r="F800" s="636" t="str">
        <f t="shared" si="48"/>
        <v>DE.DP-12</v>
      </c>
      <c r="G800" s="636" t="str">
        <f t="shared" ca="1" si="49"/>
        <v>DE.DP-120</v>
      </c>
    </row>
    <row r="801" spans="1:7" x14ac:dyDescent="0.25">
      <c r="A801" t="s">
        <v>276</v>
      </c>
      <c r="B801" s="556">
        <v>2</v>
      </c>
      <c r="C801" t="s">
        <v>446</v>
      </c>
      <c r="D801" t="s">
        <v>1529</v>
      </c>
      <c r="E801" s="556">
        <f ca="1">VLOOKUP(A801,Data!C:I,7,FALSE)</f>
        <v>0</v>
      </c>
      <c r="F801" s="636" t="str">
        <f t="shared" si="48"/>
        <v>ID.AM-62</v>
      </c>
      <c r="G801" s="636" t="str">
        <f t="shared" ca="1" si="49"/>
        <v>ID.AM-620</v>
      </c>
    </row>
    <row r="802" spans="1:7" x14ac:dyDescent="0.25">
      <c r="A802" t="s">
        <v>276</v>
      </c>
      <c r="B802" s="556">
        <v>2</v>
      </c>
      <c r="C802" t="s">
        <v>446</v>
      </c>
      <c r="D802" t="s">
        <v>1530</v>
      </c>
      <c r="E802" s="556">
        <f ca="1">VLOOKUP(A802,Data!C:I,7,FALSE)</f>
        <v>0</v>
      </c>
      <c r="F802" s="636" t="str">
        <f t="shared" si="48"/>
        <v>ID.GV-22</v>
      </c>
      <c r="G802" s="636" t="str">
        <f t="shared" ca="1" si="49"/>
        <v>ID.GV-220</v>
      </c>
    </row>
    <row r="803" spans="1:7" x14ac:dyDescent="0.25">
      <c r="A803" t="s">
        <v>276</v>
      </c>
      <c r="B803" s="556">
        <v>2</v>
      </c>
      <c r="C803" t="s">
        <v>1501</v>
      </c>
      <c r="D803" t="s">
        <v>1615</v>
      </c>
      <c r="E803" s="556">
        <f ca="1">VLOOKUP(A803,Data!C:I,7,FALSE)</f>
        <v>0</v>
      </c>
      <c r="F803" s="636" t="str">
        <f t="shared" si="48"/>
        <v>PR.AT-22</v>
      </c>
      <c r="G803" s="636" t="str">
        <f t="shared" ca="1" si="49"/>
        <v>PR.AT-220</v>
      </c>
    </row>
    <row r="804" spans="1:7" x14ac:dyDescent="0.25">
      <c r="A804" t="s">
        <v>276</v>
      </c>
      <c r="B804" s="556">
        <v>2</v>
      </c>
      <c r="C804" t="s">
        <v>1501</v>
      </c>
      <c r="D804" t="s">
        <v>1616</v>
      </c>
      <c r="E804" s="556">
        <f ca="1">VLOOKUP(A804,Data!C:I,7,FALSE)</f>
        <v>0</v>
      </c>
      <c r="F804" s="636" t="str">
        <f t="shared" si="48"/>
        <v>PR.AT-32</v>
      </c>
      <c r="G804" s="636" t="str">
        <f t="shared" ca="1" si="49"/>
        <v>PR.AT-320</v>
      </c>
    </row>
    <row r="805" spans="1:7" x14ac:dyDescent="0.25">
      <c r="A805" t="s">
        <v>276</v>
      </c>
      <c r="B805" s="556">
        <v>2</v>
      </c>
      <c r="C805" t="s">
        <v>1501</v>
      </c>
      <c r="D805" t="s">
        <v>1565</v>
      </c>
      <c r="E805" s="556">
        <f ca="1">VLOOKUP(A805,Data!C:I,7,FALSE)</f>
        <v>0</v>
      </c>
      <c r="F805" s="636" t="str">
        <f t="shared" si="48"/>
        <v>PR.AT-42</v>
      </c>
      <c r="G805" s="636" t="str">
        <f t="shared" ca="1" si="49"/>
        <v>PR.AT-420</v>
      </c>
    </row>
    <row r="806" spans="1:7" x14ac:dyDescent="0.25">
      <c r="A806" t="s">
        <v>276</v>
      </c>
      <c r="B806" s="556">
        <v>2</v>
      </c>
      <c r="C806" t="s">
        <v>1501</v>
      </c>
      <c r="D806" t="s">
        <v>1617</v>
      </c>
      <c r="E806" s="556">
        <f ca="1">VLOOKUP(A806,Data!C:I,7,FALSE)</f>
        <v>0</v>
      </c>
      <c r="F806" s="636" t="str">
        <f t="shared" si="48"/>
        <v>PR.AT-52</v>
      </c>
      <c r="G806" s="636" t="str">
        <f t="shared" ca="1" si="49"/>
        <v>PR.AT-520</v>
      </c>
    </row>
    <row r="807" spans="1:7" x14ac:dyDescent="0.25">
      <c r="A807" t="s">
        <v>277</v>
      </c>
      <c r="B807" s="556">
        <v>2</v>
      </c>
      <c r="C807" t="s">
        <v>1502</v>
      </c>
      <c r="D807" t="s">
        <v>1578</v>
      </c>
      <c r="E807" s="556">
        <f ca="1">VLOOKUP(A807,Data!C:I,7,FALSE)</f>
        <v>0</v>
      </c>
      <c r="F807" s="636" t="str">
        <f t="shared" si="48"/>
        <v>DE.DP-12</v>
      </c>
      <c r="G807" s="636" t="str">
        <f t="shared" ca="1" si="49"/>
        <v>DE.DP-120</v>
      </c>
    </row>
    <row r="808" spans="1:7" x14ac:dyDescent="0.25">
      <c r="A808" t="s">
        <v>277</v>
      </c>
      <c r="B808" s="556">
        <v>2</v>
      </c>
      <c r="C808" t="s">
        <v>446</v>
      </c>
      <c r="D808" t="s">
        <v>1529</v>
      </c>
      <c r="E808" s="556">
        <f ca="1">VLOOKUP(A808,Data!C:I,7,FALSE)</f>
        <v>0</v>
      </c>
      <c r="F808" s="636" t="str">
        <f t="shared" si="48"/>
        <v>ID.AM-62</v>
      </c>
      <c r="G808" s="636" t="str">
        <f t="shared" ca="1" si="49"/>
        <v>ID.AM-620</v>
      </c>
    </row>
    <row r="809" spans="1:7" x14ac:dyDescent="0.25">
      <c r="A809" t="s">
        <v>277</v>
      </c>
      <c r="B809" s="556">
        <v>2</v>
      </c>
      <c r="C809" t="s">
        <v>1501</v>
      </c>
      <c r="D809" t="s">
        <v>1615</v>
      </c>
      <c r="E809" s="556">
        <f ca="1">VLOOKUP(A809,Data!C:I,7,FALSE)</f>
        <v>0</v>
      </c>
      <c r="F809" s="636" t="str">
        <f t="shared" si="48"/>
        <v>PR.AT-22</v>
      </c>
      <c r="G809" s="636" t="str">
        <f t="shared" ca="1" si="49"/>
        <v>PR.AT-220</v>
      </c>
    </row>
    <row r="810" spans="1:7" x14ac:dyDescent="0.25">
      <c r="A810" t="s">
        <v>277</v>
      </c>
      <c r="B810" s="556">
        <v>2</v>
      </c>
      <c r="C810" t="s">
        <v>1501</v>
      </c>
      <c r="D810" t="s">
        <v>1616</v>
      </c>
      <c r="E810" s="556">
        <f ca="1">VLOOKUP(A810,Data!C:I,7,FALSE)</f>
        <v>0</v>
      </c>
      <c r="F810" s="636" t="str">
        <f t="shared" si="48"/>
        <v>PR.AT-32</v>
      </c>
      <c r="G810" s="636" t="str">
        <f t="shared" ca="1" si="49"/>
        <v>PR.AT-320</v>
      </c>
    </row>
    <row r="811" spans="1:7" x14ac:dyDescent="0.25">
      <c r="A811" t="s">
        <v>277</v>
      </c>
      <c r="B811" s="556">
        <v>2</v>
      </c>
      <c r="C811" t="s">
        <v>1501</v>
      </c>
      <c r="D811" t="s">
        <v>1565</v>
      </c>
      <c r="E811" s="556">
        <f ca="1">VLOOKUP(A811,Data!C:I,7,FALSE)</f>
        <v>0</v>
      </c>
      <c r="F811" s="636" t="str">
        <f t="shared" si="48"/>
        <v>PR.AT-42</v>
      </c>
      <c r="G811" s="636" t="str">
        <f t="shared" ca="1" si="49"/>
        <v>PR.AT-420</v>
      </c>
    </row>
    <row r="812" spans="1:7" x14ac:dyDescent="0.25">
      <c r="A812" t="s">
        <v>277</v>
      </c>
      <c r="B812" s="556">
        <v>2</v>
      </c>
      <c r="C812" t="s">
        <v>1501</v>
      </c>
      <c r="D812" t="s">
        <v>1617</v>
      </c>
      <c r="E812" s="556">
        <f ca="1">VLOOKUP(A812,Data!C:I,7,FALSE)</f>
        <v>0</v>
      </c>
      <c r="F812" s="636" t="str">
        <f t="shared" si="48"/>
        <v>PR.AT-52</v>
      </c>
      <c r="G812" s="636" t="str">
        <f t="shared" ca="1" si="49"/>
        <v>PR.AT-520</v>
      </c>
    </row>
    <row r="813" spans="1:7" x14ac:dyDescent="0.25">
      <c r="A813" t="s">
        <v>278</v>
      </c>
      <c r="B813" s="556">
        <v>3</v>
      </c>
      <c r="C813" t="s">
        <v>1502</v>
      </c>
      <c r="D813" t="s">
        <v>1578</v>
      </c>
      <c r="E813" s="556">
        <f ca="1">VLOOKUP(A813,Data!C:I,7,FALSE)</f>
        <v>0</v>
      </c>
      <c r="F813" s="636" t="str">
        <f t="shared" si="48"/>
        <v>DE.DP-13</v>
      </c>
      <c r="G813" s="636" t="str">
        <f t="shared" ca="1" si="49"/>
        <v>DE.DP-130</v>
      </c>
    </row>
    <row r="814" spans="1:7" x14ac:dyDescent="0.25">
      <c r="A814" t="s">
        <v>278</v>
      </c>
      <c r="B814" s="556">
        <v>3</v>
      </c>
      <c r="C814" t="s">
        <v>446</v>
      </c>
      <c r="D814" t="s">
        <v>1530</v>
      </c>
      <c r="E814" s="556">
        <f ca="1">VLOOKUP(A814,Data!C:I,7,FALSE)</f>
        <v>0</v>
      </c>
      <c r="F814" s="636" t="str">
        <f t="shared" si="48"/>
        <v>ID.GV-23</v>
      </c>
      <c r="G814" s="636" t="str">
        <f t="shared" ca="1" si="49"/>
        <v>ID.GV-230</v>
      </c>
    </row>
    <row r="815" spans="1:7" x14ac:dyDescent="0.25">
      <c r="A815" t="s">
        <v>278</v>
      </c>
      <c r="B815" s="556">
        <v>3</v>
      </c>
      <c r="C815" t="s">
        <v>1501</v>
      </c>
      <c r="D815" t="s">
        <v>1615</v>
      </c>
      <c r="E815" s="556">
        <f ca="1">VLOOKUP(A815,Data!C:I,7,FALSE)</f>
        <v>0</v>
      </c>
      <c r="F815" s="636" t="str">
        <f t="shared" si="48"/>
        <v>PR.AT-23</v>
      </c>
      <c r="G815" s="636" t="str">
        <f t="shared" ca="1" si="49"/>
        <v>PR.AT-230</v>
      </c>
    </row>
    <row r="816" spans="1:7" x14ac:dyDescent="0.25">
      <c r="A816" t="s">
        <v>278</v>
      </c>
      <c r="B816" s="556">
        <v>3</v>
      </c>
      <c r="C816" t="s">
        <v>1501</v>
      </c>
      <c r="D816" t="s">
        <v>1616</v>
      </c>
      <c r="E816" s="556">
        <f ca="1">VLOOKUP(A816,Data!C:I,7,FALSE)</f>
        <v>0</v>
      </c>
      <c r="F816" s="636" t="str">
        <f t="shared" si="48"/>
        <v>PR.AT-33</v>
      </c>
      <c r="G816" s="636" t="str">
        <f t="shared" ca="1" si="49"/>
        <v>PR.AT-330</v>
      </c>
    </row>
    <row r="817" spans="1:7" x14ac:dyDescent="0.25">
      <c r="A817" t="s">
        <v>278</v>
      </c>
      <c r="B817" s="556">
        <v>3</v>
      </c>
      <c r="C817" t="s">
        <v>1501</v>
      </c>
      <c r="D817" t="s">
        <v>1565</v>
      </c>
      <c r="E817" s="556">
        <f ca="1">VLOOKUP(A817,Data!C:I,7,FALSE)</f>
        <v>0</v>
      </c>
      <c r="F817" s="636" t="str">
        <f t="shared" si="48"/>
        <v>PR.AT-43</v>
      </c>
      <c r="G817" s="636" t="str">
        <f t="shared" ca="1" si="49"/>
        <v>PR.AT-430</v>
      </c>
    </row>
    <row r="818" spans="1:7" x14ac:dyDescent="0.25">
      <c r="A818" t="s">
        <v>278</v>
      </c>
      <c r="B818" s="556">
        <v>3</v>
      </c>
      <c r="C818" t="s">
        <v>1501</v>
      </c>
      <c r="D818" t="s">
        <v>1617</v>
      </c>
      <c r="E818" s="556">
        <f ca="1">VLOOKUP(A818,Data!C:I,7,FALSE)</f>
        <v>0</v>
      </c>
      <c r="F818" s="636" t="str">
        <f t="shared" si="48"/>
        <v>PR.AT-53</v>
      </c>
      <c r="G818" s="636" t="str">
        <f t="shared" ca="1" si="49"/>
        <v>PR.AT-530</v>
      </c>
    </row>
    <row r="819" spans="1:7" x14ac:dyDescent="0.25">
      <c r="A819" t="s">
        <v>279</v>
      </c>
      <c r="B819" s="556">
        <v>3</v>
      </c>
      <c r="C819" t="s">
        <v>1502</v>
      </c>
      <c r="D819" t="s">
        <v>1578</v>
      </c>
      <c r="E819" s="556">
        <f ca="1">VLOOKUP(A819,Data!C:I,7,FALSE)</f>
        <v>0</v>
      </c>
      <c r="F819" s="636" t="str">
        <f t="shared" si="48"/>
        <v>DE.DP-13</v>
      </c>
      <c r="G819" s="636" t="str">
        <f t="shared" ca="1" si="49"/>
        <v>DE.DP-130</v>
      </c>
    </row>
    <row r="820" spans="1:7" x14ac:dyDescent="0.25">
      <c r="A820" t="s">
        <v>279</v>
      </c>
      <c r="B820" s="556">
        <v>3</v>
      </c>
      <c r="C820" t="s">
        <v>446</v>
      </c>
      <c r="D820" t="s">
        <v>1530</v>
      </c>
      <c r="E820" s="556">
        <f ca="1">VLOOKUP(A820,Data!C:I,7,FALSE)</f>
        <v>0</v>
      </c>
      <c r="F820" s="636" t="str">
        <f t="shared" si="48"/>
        <v>ID.GV-23</v>
      </c>
      <c r="G820" s="636" t="str">
        <f t="shared" ca="1" si="49"/>
        <v>ID.GV-230</v>
      </c>
    </row>
    <row r="821" spans="1:7" x14ac:dyDescent="0.25">
      <c r="A821" t="s">
        <v>279</v>
      </c>
      <c r="B821" s="556">
        <v>3</v>
      </c>
      <c r="C821" t="s">
        <v>1501</v>
      </c>
      <c r="D821" t="s">
        <v>1615</v>
      </c>
      <c r="E821" s="556">
        <f ca="1">VLOOKUP(A821,Data!C:I,7,FALSE)</f>
        <v>0</v>
      </c>
      <c r="F821" s="636" t="str">
        <f t="shared" si="48"/>
        <v>PR.AT-23</v>
      </c>
      <c r="G821" s="636" t="str">
        <f t="shared" ca="1" si="49"/>
        <v>PR.AT-230</v>
      </c>
    </row>
    <row r="822" spans="1:7" x14ac:dyDescent="0.25">
      <c r="A822" t="s">
        <v>279</v>
      </c>
      <c r="B822" s="556">
        <v>3</v>
      </c>
      <c r="C822" t="s">
        <v>1501</v>
      </c>
      <c r="D822" t="s">
        <v>1616</v>
      </c>
      <c r="E822" s="556">
        <f ca="1">VLOOKUP(A822,Data!C:I,7,FALSE)</f>
        <v>0</v>
      </c>
      <c r="F822" s="636" t="str">
        <f t="shared" si="48"/>
        <v>PR.AT-33</v>
      </c>
      <c r="G822" s="636" t="str">
        <f t="shared" ca="1" si="49"/>
        <v>PR.AT-330</v>
      </c>
    </row>
    <row r="823" spans="1:7" x14ac:dyDescent="0.25">
      <c r="A823" t="s">
        <v>279</v>
      </c>
      <c r="B823" s="556">
        <v>3</v>
      </c>
      <c r="C823" t="s">
        <v>1501</v>
      </c>
      <c r="D823" t="s">
        <v>1565</v>
      </c>
      <c r="E823" s="556">
        <f ca="1">VLOOKUP(A823,Data!C:I,7,FALSE)</f>
        <v>0</v>
      </c>
      <c r="F823" s="636" t="str">
        <f t="shared" si="48"/>
        <v>PR.AT-43</v>
      </c>
      <c r="G823" s="636" t="str">
        <f t="shared" ca="1" si="49"/>
        <v>PR.AT-430</v>
      </c>
    </row>
    <row r="824" spans="1:7" x14ac:dyDescent="0.25">
      <c r="A824" t="s">
        <v>279</v>
      </c>
      <c r="B824" s="556">
        <v>3</v>
      </c>
      <c r="C824" t="s">
        <v>1501</v>
      </c>
      <c r="D824" t="s">
        <v>1617</v>
      </c>
      <c r="E824" s="556">
        <f ca="1">VLOOKUP(A824,Data!C:I,7,FALSE)</f>
        <v>0</v>
      </c>
      <c r="F824" s="636" t="str">
        <f t="shared" si="48"/>
        <v>PR.AT-53</v>
      </c>
      <c r="G824" s="636" t="str">
        <f t="shared" ca="1" si="49"/>
        <v>PR.AT-530</v>
      </c>
    </row>
    <row r="825" spans="1:7" x14ac:dyDescent="0.25">
      <c r="A825" t="s">
        <v>279</v>
      </c>
      <c r="B825" s="556">
        <v>3</v>
      </c>
      <c r="C825" t="s">
        <v>1501</v>
      </c>
      <c r="D825" t="s">
        <v>1618</v>
      </c>
      <c r="E825" s="556">
        <f ca="1">VLOOKUP(A825,Data!C:I,7,FALSE)</f>
        <v>0</v>
      </c>
      <c r="F825" s="636" t="str">
        <f t="shared" si="48"/>
        <v>PR.IP-113</v>
      </c>
      <c r="G825" s="636" t="str">
        <f t="shared" ca="1" si="49"/>
        <v>PR.IP-1130</v>
      </c>
    </row>
    <row r="826" spans="1:7" x14ac:dyDescent="0.25">
      <c r="A826" t="s">
        <v>280</v>
      </c>
      <c r="B826" s="556">
        <v>1</v>
      </c>
      <c r="C826" t="s">
        <v>1501</v>
      </c>
      <c r="D826" t="s">
        <v>1619</v>
      </c>
      <c r="E826" s="556">
        <f ca="1">VLOOKUP(A826,Data!C:I,7,FALSE)</f>
        <v>0</v>
      </c>
      <c r="F826" s="636" t="str">
        <f t="shared" si="48"/>
        <v>PR.AT-11</v>
      </c>
      <c r="G826" s="636" t="str">
        <f t="shared" ca="1" si="49"/>
        <v>PR.AT-110</v>
      </c>
    </row>
    <row r="827" spans="1:7" x14ac:dyDescent="0.25">
      <c r="A827" t="s">
        <v>281</v>
      </c>
      <c r="B827" s="556">
        <v>1</v>
      </c>
      <c r="C827" t="s">
        <v>1501</v>
      </c>
      <c r="D827" t="s">
        <v>1619</v>
      </c>
      <c r="E827" s="556">
        <f ca="1">VLOOKUP(A827,Data!C:I,7,FALSE)</f>
        <v>0</v>
      </c>
      <c r="F827" s="636" t="str">
        <f t="shared" si="48"/>
        <v>PR.AT-11</v>
      </c>
      <c r="G827" s="636" t="str">
        <f t="shared" ca="1" si="49"/>
        <v>PR.AT-110</v>
      </c>
    </row>
    <row r="828" spans="1:7" x14ac:dyDescent="0.25">
      <c r="A828" t="s">
        <v>282</v>
      </c>
      <c r="B828" s="556">
        <v>2</v>
      </c>
      <c r="C828" t="s">
        <v>1501</v>
      </c>
      <c r="D828" t="s">
        <v>1619</v>
      </c>
      <c r="E828" s="556">
        <f ca="1">VLOOKUP(A828,Data!C:I,7,FALSE)</f>
        <v>0</v>
      </c>
      <c r="F828" s="636" t="str">
        <f t="shared" si="48"/>
        <v>PR.AT-12</v>
      </c>
      <c r="G828" s="636" t="str">
        <f t="shared" ca="1" si="49"/>
        <v>PR.AT-120</v>
      </c>
    </row>
    <row r="829" spans="1:7" x14ac:dyDescent="0.25">
      <c r="A829" t="s">
        <v>283</v>
      </c>
      <c r="B829" s="556">
        <v>2</v>
      </c>
      <c r="C829" t="s">
        <v>1501</v>
      </c>
      <c r="D829" t="s">
        <v>1619</v>
      </c>
      <c r="E829" s="556">
        <f ca="1">VLOOKUP(A829,Data!C:I,7,FALSE)</f>
        <v>0</v>
      </c>
      <c r="F829" s="636" t="str">
        <f t="shared" si="48"/>
        <v>PR.AT-12</v>
      </c>
      <c r="G829" s="636" t="str">
        <f t="shared" ca="1" si="49"/>
        <v>PR.AT-120</v>
      </c>
    </row>
    <row r="830" spans="1:7" x14ac:dyDescent="0.25">
      <c r="A830" t="s">
        <v>284</v>
      </c>
      <c r="B830" s="556">
        <v>3</v>
      </c>
      <c r="C830" t="s">
        <v>1501</v>
      </c>
      <c r="D830" t="s">
        <v>1619</v>
      </c>
      <c r="E830" s="556">
        <f ca="1">VLOOKUP(A830,Data!C:I,7,FALSE)</f>
        <v>0</v>
      </c>
      <c r="F830" s="636" t="str">
        <f t="shared" si="48"/>
        <v>PR.AT-13</v>
      </c>
      <c r="G830" s="636" t="str">
        <f t="shared" ca="1" si="49"/>
        <v>PR.AT-130</v>
      </c>
    </row>
    <row r="831" spans="1:7" x14ac:dyDescent="0.25">
      <c r="A831" t="s">
        <v>285</v>
      </c>
      <c r="B831" s="556">
        <v>3</v>
      </c>
      <c r="C831" t="s">
        <v>1501</v>
      </c>
      <c r="D831" t="s">
        <v>1619</v>
      </c>
      <c r="E831" s="556">
        <f ca="1">VLOOKUP(A831,Data!C:I,7,FALSE)</f>
        <v>0</v>
      </c>
      <c r="F831" s="636" t="str">
        <f t="shared" si="48"/>
        <v>PR.AT-13</v>
      </c>
      <c r="G831" s="636" t="str">
        <f t="shared" ca="1" si="49"/>
        <v>PR.AT-130</v>
      </c>
    </row>
    <row r="832" spans="1:7" x14ac:dyDescent="0.25">
      <c r="A832" t="s">
        <v>286</v>
      </c>
      <c r="B832" s="556">
        <v>1</v>
      </c>
      <c r="C832" t="s">
        <v>1501</v>
      </c>
      <c r="D832" t="s">
        <v>1618</v>
      </c>
      <c r="E832" s="556">
        <f ca="1">VLOOKUP(A832,Data!C:I,7,FALSE)</f>
        <v>0</v>
      </c>
      <c r="F832" s="636" t="str">
        <f t="shared" si="48"/>
        <v>PR.IP-111</v>
      </c>
      <c r="G832" s="636" t="str">
        <f t="shared" ca="1" si="49"/>
        <v>PR.IP-1110</v>
      </c>
    </row>
    <row r="833" spans="1:7" x14ac:dyDescent="0.25">
      <c r="A833" t="s">
        <v>287</v>
      </c>
      <c r="B833" s="556">
        <v>1</v>
      </c>
      <c r="C833" t="s">
        <v>1501</v>
      </c>
      <c r="D833" t="s">
        <v>1618</v>
      </c>
      <c r="E833" s="556">
        <f ca="1">VLOOKUP(A833,Data!C:I,7,FALSE)</f>
        <v>0</v>
      </c>
      <c r="F833" s="636" t="str">
        <f t="shared" si="48"/>
        <v>PR.IP-111</v>
      </c>
      <c r="G833" s="636" t="str">
        <f t="shared" ca="1" si="49"/>
        <v>PR.IP-1110</v>
      </c>
    </row>
    <row r="834" spans="1:7" x14ac:dyDescent="0.25">
      <c r="A834" t="s">
        <v>288</v>
      </c>
      <c r="B834" s="556">
        <v>2</v>
      </c>
      <c r="C834" t="s">
        <v>1501</v>
      </c>
      <c r="D834" t="s">
        <v>1618</v>
      </c>
      <c r="E834" s="556">
        <f ca="1">VLOOKUP(A834,Data!C:I,7,FALSE)</f>
        <v>0</v>
      </c>
      <c r="F834" s="636" t="str">
        <f t="shared" si="48"/>
        <v>PR.IP-112</v>
      </c>
      <c r="G834" s="636" t="str">
        <f t="shared" ca="1" si="49"/>
        <v>PR.IP-1120</v>
      </c>
    </row>
    <row r="835" spans="1:7" x14ac:dyDescent="0.25">
      <c r="A835" t="s">
        <v>289</v>
      </c>
      <c r="B835" s="556">
        <v>2</v>
      </c>
      <c r="C835" t="s">
        <v>1501</v>
      </c>
      <c r="D835" t="s">
        <v>1618</v>
      </c>
      <c r="E835" s="556">
        <f ca="1">VLOOKUP(A835,Data!C:I,7,FALSE)</f>
        <v>0</v>
      </c>
      <c r="F835" s="636" t="str">
        <f t="shared" ref="F835:F846" si="50">CONCATENATE($D835,$B835)</f>
        <v>PR.IP-112</v>
      </c>
      <c r="G835" s="636" t="str">
        <f t="shared" ref="G835:G846" ca="1" si="51">_xlfn.IFNA(CONCATENATE(F835,$E835),CONCATENATE(F835,$E835,0))</f>
        <v>PR.IP-1120</v>
      </c>
    </row>
    <row r="836" spans="1:7" x14ac:dyDescent="0.25">
      <c r="A836" t="s">
        <v>290</v>
      </c>
      <c r="B836" s="556">
        <v>2</v>
      </c>
      <c r="C836" t="s">
        <v>1501</v>
      </c>
      <c r="D836" t="s">
        <v>1618</v>
      </c>
      <c r="E836" s="556">
        <f ca="1">VLOOKUP(A836,Data!C:I,7,FALSE)</f>
        <v>0</v>
      </c>
      <c r="F836" s="636" t="str">
        <f t="shared" si="50"/>
        <v>PR.IP-112</v>
      </c>
      <c r="G836" s="636" t="str">
        <f t="shared" ca="1" si="51"/>
        <v>PR.IP-1120</v>
      </c>
    </row>
    <row r="837" spans="1:7" x14ac:dyDescent="0.25">
      <c r="A837" t="s">
        <v>291</v>
      </c>
      <c r="B837" s="556">
        <v>3</v>
      </c>
      <c r="C837" t="s">
        <v>1501</v>
      </c>
      <c r="D837" t="s">
        <v>1618</v>
      </c>
      <c r="E837" s="556">
        <f ca="1">VLOOKUP(A837,Data!C:I,7,FALSE)</f>
        <v>0</v>
      </c>
      <c r="F837" s="636" t="str">
        <f t="shared" si="50"/>
        <v>PR.IP-113</v>
      </c>
      <c r="G837" s="636" t="str">
        <f t="shared" ca="1" si="51"/>
        <v>PR.IP-1130</v>
      </c>
    </row>
    <row r="838" spans="1:7" x14ac:dyDescent="0.25">
      <c r="A838" t="s">
        <v>991</v>
      </c>
      <c r="B838" s="556">
        <v>3</v>
      </c>
      <c r="C838" t="s">
        <v>1501</v>
      </c>
      <c r="D838" t="s">
        <v>1618</v>
      </c>
      <c r="E838" s="556" t="e">
        <f>VLOOKUP(A838,Data!C:I,7,FALSE)</f>
        <v>#N/A</v>
      </c>
      <c r="F838" s="636" t="str">
        <f t="shared" si="50"/>
        <v>PR.IP-113</v>
      </c>
      <c r="G838" s="636" t="e">
        <f t="shared" si="51"/>
        <v>#N/A</v>
      </c>
    </row>
    <row r="839" spans="1:7" x14ac:dyDescent="0.25">
      <c r="A839" t="s">
        <v>292</v>
      </c>
      <c r="B839" s="556">
        <v>1</v>
      </c>
      <c r="C839" t="s">
        <v>1501</v>
      </c>
      <c r="D839" t="s">
        <v>1619</v>
      </c>
      <c r="E839" s="556">
        <f ca="1">VLOOKUP(A839,Data!C:I,7,FALSE)</f>
        <v>0</v>
      </c>
      <c r="F839" s="636" t="str">
        <f t="shared" si="50"/>
        <v>PR.AT-11</v>
      </c>
      <c r="G839" s="636" t="str">
        <f t="shared" ca="1" si="51"/>
        <v>PR.AT-110</v>
      </c>
    </row>
    <row r="840" spans="1:7" x14ac:dyDescent="0.25">
      <c r="A840" t="s">
        <v>293</v>
      </c>
      <c r="B840" s="556">
        <v>2</v>
      </c>
      <c r="C840" t="s">
        <v>1501</v>
      </c>
      <c r="D840" t="s">
        <v>1619</v>
      </c>
      <c r="E840" s="556">
        <f ca="1">VLOOKUP(A840,Data!C:I,7,FALSE)</f>
        <v>0</v>
      </c>
      <c r="F840" s="636" t="str">
        <f t="shared" si="50"/>
        <v>PR.AT-12</v>
      </c>
      <c r="G840" s="636" t="str">
        <f t="shared" ca="1" si="51"/>
        <v>PR.AT-120</v>
      </c>
    </row>
    <row r="841" spans="1:7" x14ac:dyDescent="0.25">
      <c r="A841" t="s">
        <v>294</v>
      </c>
      <c r="B841" s="556">
        <v>2</v>
      </c>
      <c r="C841" t="s">
        <v>1501</v>
      </c>
      <c r="D841" t="s">
        <v>1619</v>
      </c>
      <c r="E841" s="556">
        <f ca="1">VLOOKUP(A841,Data!C:I,7,FALSE)</f>
        <v>0</v>
      </c>
      <c r="F841" s="636" t="str">
        <f t="shared" si="50"/>
        <v>PR.AT-12</v>
      </c>
      <c r="G841" s="636" t="str">
        <f t="shared" ca="1" si="51"/>
        <v>PR.AT-120</v>
      </c>
    </row>
    <row r="842" spans="1:7" x14ac:dyDescent="0.25">
      <c r="A842" t="s">
        <v>295</v>
      </c>
      <c r="B842" s="556">
        <v>3</v>
      </c>
      <c r="C842" t="s">
        <v>1501</v>
      </c>
      <c r="D842" t="s">
        <v>1619</v>
      </c>
      <c r="E842" s="556">
        <f ca="1">VLOOKUP(A842,Data!C:I,7,FALSE)</f>
        <v>0</v>
      </c>
      <c r="F842" s="636" t="str">
        <f t="shared" si="50"/>
        <v>PR.AT-13</v>
      </c>
      <c r="G842" s="636" t="str">
        <f t="shared" ca="1" si="51"/>
        <v>PR.AT-130</v>
      </c>
    </row>
    <row r="843" spans="1:7" x14ac:dyDescent="0.25">
      <c r="A843" t="s">
        <v>296</v>
      </c>
      <c r="B843" s="556">
        <v>3</v>
      </c>
      <c r="C843" t="s">
        <v>1501</v>
      </c>
      <c r="D843" t="s">
        <v>1619</v>
      </c>
      <c r="E843" s="556">
        <f ca="1">VLOOKUP(A843,Data!C:I,7,FALSE)</f>
        <v>0</v>
      </c>
      <c r="F843" s="636" t="str">
        <f t="shared" si="50"/>
        <v>PR.AT-13</v>
      </c>
      <c r="G843" s="636" t="str">
        <f t="shared" ca="1" si="51"/>
        <v>PR.AT-130</v>
      </c>
    </row>
    <row r="844" spans="1:7" x14ac:dyDescent="0.25">
      <c r="A844" t="s">
        <v>301</v>
      </c>
      <c r="B844" s="556">
        <v>3</v>
      </c>
      <c r="C844" t="s">
        <v>446</v>
      </c>
      <c r="D844" t="s">
        <v>1529</v>
      </c>
      <c r="E844" s="556">
        <f ca="1">VLOOKUP(A844,Data!C:I,7,FALSE)</f>
        <v>0</v>
      </c>
      <c r="F844" s="636" t="str">
        <f t="shared" si="50"/>
        <v>ID.AM-63</v>
      </c>
      <c r="G844" s="636" t="str">
        <f t="shared" ca="1" si="51"/>
        <v>ID.AM-630</v>
      </c>
    </row>
    <row r="845" spans="1:7" x14ac:dyDescent="0.25">
      <c r="A845" t="s">
        <v>301</v>
      </c>
      <c r="B845" s="556">
        <v>3</v>
      </c>
      <c r="C845" t="s">
        <v>446</v>
      </c>
      <c r="D845" t="s">
        <v>1530</v>
      </c>
      <c r="E845" s="556">
        <f ca="1">VLOOKUP(A845,Data!C:I,7,FALSE)</f>
        <v>0</v>
      </c>
      <c r="F845" s="636" t="str">
        <f t="shared" si="50"/>
        <v>ID.GV-23</v>
      </c>
      <c r="G845" s="636" t="str">
        <f t="shared" ca="1" si="51"/>
        <v>ID.GV-230</v>
      </c>
    </row>
    <row r="846" spans="1:7" x14ac:dyDescent="0.25">
      <c r="A846" t="s">
        <v>302</v>
      </c>
      <c r="B846" s="556">
        <v>3</v>
      </c>
      <c r="C846" t="s">
        <v>1501</v>
      </c>
      <c r="D846" t="s">
        <v>1531</v>
      </c>
      <c r="E846" s="556">
        <f ca="1">VLOOKUP(A846,Data!C:I,7,FALSE)</f>
        <v>0</v>
      </c>
      <c r="F846" s="636" t="str">
        <f t="shared" si="50"/>
        <v>PR.IP-83</v>
      </c>
      <c r="G846" s="636" t="str">
        <f t="shared" ca="1" si="51"/>
        <v>PR.IP-830</v>
      </c>
    </row>
  </sheetData>
  <sheetProtection autoFilter="0"/>
  <autoFilter ref="A1:G1" xr:uid="{00000000-0009-0000-0000-00001B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2" tint="0.79998168889431442"/>
  </sheetPr>
  <dimension ref="A1:U58"/>
  <sheetViews>
    <sheetView showGridLines="0" zoomScale="80" zoomScaleNormal="80" workbookViewId="0"/>
  </sheetViews>
  <sheetFormatPr defaultColWidth="9.26953125" defaultRowHeight="11.4" x14ac:dyDescent="0.25"/>
  <cols>
    <col min="1" max="2" width="1.6328125" style="140" customWidth="1"/>
    <col min="3" max="3" width="2.6328125" style="140" customWidth="1"/>
    <col min="4" max="4" width="3.1796875" style="300" customWidth="1"/>
    <col min="5" max="5" width="55.6328125" style="140" customWidth="1"/>
    <col min="6" max="6" width="2.6328125" style="301" customWidth="1"/>
    <col min="7" max="7" width="14.6328125" style="260" customWidth="1"/>
    <col min="8" max="8" width="30.6328125" style="302" customWidth="1"/>
    <col min="9" max="10" width="20.6328125" style="302" customWidth="1"/>
    <col min="11" max="11" width="10.6328125" style="302" customWidth="1"/>
    <col min="12" max="12" width="1.6328125" style="140" customWidth="1"/>
    <col min="13" max="13" width="1.6328125" style="303" customWidth="1"/>
    <col min="14" max="14" width="1.6328125" style="140" customWidth="1"/>
    <col min="15" max="15" width="14.6328125" style="432" customWidth="1"/>
    <col min="16" max="16" width="45.26953125" style="302" customWidth="1"/>
    <col min="17" max="18" width="20.6328125" style="302" customWidth="1"/>
    <col min="19" max="19" width="28.6328125" style="302" customWidth="1"/>
    <col min="20" max="20" width="1.6328125" style="140" customWidth="1"/>
    <col min="21" max="21" width="1.6328125" style="303" customWidth="1"/>
    <col min="22" max="16384" width="9.26953125" style="140"/>
  </cols>
  <sheetData>
    <row r="1" spans="1:21" x14ac:dyDescent="0.25">
      <c r="A1" s="135"/>
      <c r="B1" s="135"/>
      <c r="C1" s="135"/>
      <c r="D1" s="135"/>
      <c r="E1" s="135"/>
      <c r="F1" s="251"/>
      <c r="G1" s="250"/>
      <c r="H1" s="250"/>
      <c r="I1" s="250"/>
      <c r="J1" s="250"/>
      <c r="K1" s="250"/>
      <c r="L1" s="135"/>
      <c r="M1" s="135"/>
      <c r="N1" s="135"/>
      <c r="O1" s="251"/>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799"/>
      <c r="O2" s="800"/>
      <c r="P2" s="800"/>
      <c r="Q2" s="800"/>
      <c r="R2" s="800"/>
      <c r="S2" s="800"/>
      <c r="T2" s="801"/>
      <c r="U2" s="252"/>
    </row>
    <row r="3" spans="1:21" s="257" customFormat="1" ht="25.05" customHeight="1" x14ac:dyDescent="0.25">
      <c r="A3" s="252"/>
      <c r="B3" s="149"/>
      <c r="C3" s="150" t="s">
        <v>56</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2"/>
      <c r="O3" s="1184" t="str">
        <f>VLOOKUP($C$3,Infoimport!$B$4:$C$14,2,FALSE)</f>
        <v xml:space="preserve">CRITICAL, tiedot Infoimport-välilehdeltä 
</v>
      </c>
      <c r="P3" s="1185"/>
      <c r="Q3" s="1185"/>
      <c r="R3" s="1185"/>
      <c r="S3" s="1185"/>
      <c r="T3" s="803"/>
      <c r="U3" s="252"/>
    </row>
    <row r="4" spans="1:21" ht="25.05" customHeight="1" x14ac:dyDescent="0.3">
      <c r="A4" s="135"/>
      <c r="B4" s="157"/>
      <c r="C4" s="155" t="str">
        <f>IF(VLOOKUP($C$3,Languages!$A:$D,1,TRUE)=$C$3,VLOOKUP($C$3,Languages!$A:$D,Summary!$C$7,TRUE),NA())</f>
        <v>Kriittisten palveluiden suojaaminen (CRITICAL)</v>
      </c>
      <c r="D4" s="258"/>
      <c r="E4" s="259"/>
      <c r="F4" s="261"/>
      <c r="H4" s="261" t="str">
        <f ca="1">VLOOKUP(VLOOKUP(CONCATENATE($C$3),Data!$K:$O,5,FALSE),Parameters!$C$7:$F$10,Summary!$C$7,FALSE)</f>
        <v>Kypsyystaso 0</v>
      </c>
      <c r="I4" s="697"/>
      <c r="J4" s="262"/>
      <c r="L4" s="161"/>
      <c r="M4" s="135"/>
      <c r="N4" s="802"/>
      <c r="O4" s="1185"/>
      <c r="P4" s="1185"/>
      <c r="Q4" s="1185"/>
      <c r="R4" s="1185"/>
      <c r="S4" s="1185"/>
      <c r="T4" s="803"/>
      <c r="U4" s="135"/>
    </row>
    <row r="5" spans="1:21" ht="10.050000000000001" customHeight="1" x14ac:dyDescent="0.25">
      <c r="A5" s="135"/>
      <c r="B5" s="157"/>
      <c r="C5" s="263"/>
      <c r="D5" s="159"/>
      <c r="E5" s="159"/>
      <c r="F5" s="160"/>
      <c r="G5" s="160"/>
      <c r="H5" s="262"/>
      <c r="I5" s="262"/>
      <c r="J5" s="262"/>
      <c r="K5" s="262"/>
      <c r="L5" s="161"/>
      <c r="M5" s="135"/>
      <c r="N5" s="802"/>
      <c r="O5" s="1185"/>
      <c r="P5" s="1185"/>
      <c r="Q5" s="1185"/>
      <c r="R5" s="1185"/>
      <c r="S5" s="1185"/>
      <c r="T5" s="803"/>
      <c r="U5" s="135"/>
    </row>
    <row r="6" spans="1:21" ht="30" customHeight="1" x14ac:dyDescent="0.25">
      <c r="A6" s="135"/>
      <c r="B6" s="157"/>
      <c r="C6" s="1204" t="str">
        <f>IF(VLOOKUP(CONCATENATE(C3,"-0"),Languages!$A:$D,1,TRUE)=CONCATENATE(C3,"-0"),VLOOKUP(CONCATENATE(C3,"-0"),Languages!$A:$D,Summary!$C$7,TRUE),NA())</f>
        <v>Organisaation tulee tunnistaa oma roolinsa yhteiskunnan kannalta kriittisten palveluiden tuottamisessa ja hallita riskejä sen mukaisesti.</v>
      </c>
      <c r="D6" s="1204"/>
      <c r="E6" s="1204"/>
      <c r="F6" s="1204"/>
      <c r="G6" s="1204"/>
      <c r="H6" s="1204"/>
      <c r="I6" s="1204"/>
      <c r="J6" s="1204"/>
      <c r="K6" s="1204"/>
      <c r="L6" s="161"/>
      <c r="M6" s="135"/>
      <c r="N6" s="802"/>
      <c r="O6" s="1185"/>
      <c r="P6" s="1185"/>
      <c r="Q6" s="1185"/>
      <c r="R6" s="1185"/>
      <c r="S6" s="1185"/>
      <c r="T6" s="803"/>
      <c r="U6" s="135"/>
    </row>
    <row r="7" spans="1:21" ht="18" customHeight="1" x14ac:dyDescent="0.2">
      <c r="A7" s="135"/>
      <c r="B7" s="157"/>
      <c r="C7" s="264">
        <v>1</v>
      </c>
      <c r="D7" s="265" t="s">
        <v>1</v>
      </c>
      <c r="E7" s="266" t="str">
        <f>IF(VLOOKUP(CONCATENATE($C$3,"-",C7),Languages!$A:$D,1,TRUE)=CONCATENATE($C$3,"-",C7),VLOOKUP(CONCATENATE($C$3,"-",C7),Languages!$A:$D,Summary!$C$7,TRUE),NA())</f>
        <v>Kriittisten palveluiden ja niiden riippuvuuksien tunnistaminen</v>
      </c>
      <c r="F7" s="1113"/>
      <c r="H7" s="267" t="str">
        <f ca="1">VLOOKUP(VLOOKUP(CONCATENATE($C$3,"-",$C7),Data!$K:$O,5,FALSE),Parameters!$C$7:$F$10,Summary!$C$7,FALSE)</f>
        <v>Kypsyystaso 0</v>
      </c>
      <c r="I7" s="465" t="str">
        <f>IF(VLOOKUP("KM110",Languages!$A:$D,1,TRUE)="KM110",VLOOKUP("KM110",Languages!$A:$D,Summary!$C$7,TRUE),NA())</f>
        <v>Päivämäärä</v>
      </c>
      <c r="J7" s="439"/>
      <c r="L7" s="161"/>
      <c r="M7" s="135"/>
      <c r="N7" s="802"/>
      <c r="O7" s="1185"/>
      <c r="P7" s="1185"/>
      <c r="Q7" s="1185"/>
      <c r="R7" s="1185"/>
      <c r="S7" s="1185"/>
      <c r="T7" s="803"/>
      <c r="U7" s="135"/>
    </row>
    <row r="8" spans="1:21" ht="18" customHeight="1" x14ac:dyDescent="0.25">
      <c r="A8" s="135"/>
      <c r="B8" s="157"/>
      <c r="C8" s="264">
        <v>2</v>
      </c>
      <c r="D8" s="265" t="s">
        <v>1</v>
      </c>
      <c r="E8" s="266" t="str">
        <f>IF(VLOOKUP(CONCATENATE($C$3,"-",C8),Languages!$A:$D,1,TRUE)=CONCATENATE($C$3,"-",C8),VLOOKUP(CONCATENATE($C$3,"-",C8),Languages!$A:$D,Summary!$C$7,TRUE),NA())</f>
        <v>Kriittisten palveluiden hallinta</v>
      </c>
      <c r="F8" s="1113"/>
      <c r="H8" s="267" t="str">
        <f ca="1">VLOOKUP(VLOOKUP(CONCATENATE($C$3,"-",$C8),Data!$K:$O,5,FALSE),Parameters!$C$7:$F$10,Summary!$C$7,FALSE)</f>
        <v>Kypsyystaso 0</v>
      </c>
      <c r="I8" s="1205"/>
      <c r="J8" s="1206"/>
      <c r="L8" s="161"/>
      <c r="M8" s="135"/>
      <c r="N8" s="802"/>
      <c r="O8" s="1185"/>
      <c r="P8" s="1185"/>
      <c r="Q8" s="1185"/>
      <c r="R8" s="1185"/>
      <c r="S8" s="1185"/>
      <c r="T8" s="803"/>
      <c r="U8" s="135"/>
    </row>
    <row r="9" spans="1:21" ht="18" customHeight="1" x14ac:dyDescent="0.2">
      <c r="A9" s="135"/>
      <c r="B9" s="157"/>
      <c r="C9" s="264">
        <v>3</v>
      </c>
      <c r="D9" s="265" t="s">
        <v>1</v>
      </c>
      <c r="E9" s="266" t="str">
        <f>IF(VLOOKUP(CONCATENATE($C$3,"-",C9),Languages!$A:$D,1,TRUE)=CONCATENATE($C$3,"-",C9),VLOOKUP(CONCATENATE($C$3,"-",C9),Languages!$A:$D,Summary!$C$7,TRUE),NA())</f>
        <v>Kriittisten palveluiden kyberhäiriöiden vaikutusten minimointi</v>
      </c>
      <c r="F9" s="1113"/>
      <c r="H9" s="267" t="str">
        <f ca="1">VLOOKUP(VLOOKUP(CONCATENATE($C$3,"-",$C9),Data!$K:$O,5,FALSE),Parameters!$C$7:$F$10,Summary!$C$7,FALSE)</f>
        <v>Kypsyystaso 0</v>
      </c>
      <c r="I9" s="465" t="str">
        <f>IF(VLOOKUP("KM111",Languages!$A:$D,1,TRUE)="KM111",VLOOKUP("KM111",Languages!$A:$D,Summary!$C$7,TRUE),NA())</f>
        <v>Osallistujat</v>
      </c>
      <c r="J9" s="439"/>
      <c r="L9" s="161"/>
      <c r="M9" s="135"/>
      <c r="N9" s="802"/>
      <c r="O9" s="1185"/>
      <c r="P9" s="1185"/>
      <c r="Q9" s="1185"/>
      <c r="R9" s="1185"/>
      <c r="S9" s="1185"/>
      <c r="T9" s="803"/>
      <c r="U9" s="135"/>
    </row>
    <row r="10" spans="1:21" ht="18" customHeight="1" x14ac:dyDescent="0.25">
      <c r="A10" s="135"/>
      <c r="B10" s="157"/>
      <c r="C10" s="264"/>
      <c r="D10" s="265"/>
      <c r="E10" s="266"/>
      <c r="F10" s="1113"/>
      <c r="G10" s="267"/>
      <c r="H10" s="1113"/>
      <c r="I10" s="1194"/>
      <c r="J10" s="1195"/>
      <c r="L10" s="161"/>
      <c r="M10" s="135"/>
      <c r="N10" s="802"/>
      <c r="O10" s="1185"/>
      <c r="P10" s="1185"/>
      <c r="Q10" s="1185"/>
      <c r="R10" s="1185"/>
      <c r="S10" s="1185"/>
      <c r="T10" s="803"/>
      <c r="U10" s="135"/>
    </row>
    <row r="11" spans="1:21" ht="18" customHeight="1" x14ac:dyDescent="0.25">
      <c r="A11" s="135"/>
      <c r="B11" s="157"/>
      <c r="C11" s="264"/>
      <c r="D11" s="265"/>
      <c r="E11" s="266"/>
      <c r="F11" s="1113"/>
      <c r="G11" s="267"/>
      <c r="H11" s="1113"/>
      <c r="I11" s="1196"/>
      <c r="J11" s="1197"/>
      <c r="L11" s="161"/>
      <c r="M11" s="135"/>
      <c r="N11" s="802"/>
      <c r="O11" s="1185"/>
      <c r="P11" s="1185"/>
      <c r="Q11" s="1185"/>
      <c r="R11" s="1185"/>
      <c r="S11" s="1185"/>
      <c r="T11" s="803"/>
      <c r="U11" s="135"/>
    </row>
    <row r="12" spans="1:21" s="177" customFormat="1" ht="30" customHeight="1" x14ac:dyDescent="0.3">
      <c r="A12" s="166"/>
      <c r="B12" s="269"/>
      <c r="C12" s="270">
        <v>1</v>
      </c>
      <c r="D12" s="270" t="str">
        <f>IF(VLOOKUP(CONCATENATE($C$3,"-",C12),Languages!$A:$D,1,TRUE)=CONCATENATE($C$3,"-",C12),VLOOKUP(CONCATENATE($C$3,"-",C12),Languages!$A:$D,Summary!$C$7,TRUE),NA())</f>
        <v>Kriittisten palveluiden ja niiden riippuvuuksien tunnistaminen</v>
      </c>
      <c r="E12" s="170"/>
      <c r="F12" s="271"/>
      <c r="G12" s="271"/>
      <c r="H12" s="272"/>
      <c r="I12" s="272"/>
      <c r="J12" s="272"/>
      <c r="K12" s="272"/>
      <c r="L12" s="273"/>
      <c r="M12" s="274"/>
      <c r="N12" s="802"/>
      <c r="O12" s="905" t="str">
        <f>IF(VLOOKUP("GEN-ANSWER",Languages!$A:$D,1,TRUE)="GEN-ANSWER",VLOOKUP("GEN-ANSWER",Languages!$A:$D,Summary!$C$7,TRUE),NA())</f>
        <v>Vastaus</v>
      </c>
      <c r="P12" s="905" t="str">
        <f>IF(VLOOKUP("KM112",Languages!$A:$D,1,TRUE)="KM112",VLOOKUP("KM112",Languages!$A:$D,Summary!$C$7,TRUE),NA())</f>
        <v>Kommentit</v>
      </c>
      <c r="Q12" s="905" t="str">
        <f>IF(VLOOKUP("KM113",Languages!$A:$D,1,TRUE)="KM113",VLOOKUP("KM113",Languages!$A:$D,Summary!$C$7,TRUE),NA())</f>
        <v>Sisäinen viittaus</v>
      </c>
      <c r="R12" s="905" t="str">
        <f>IF(VLOOKUP("KM114",Languages!$A:$D,1,TRUE)="KM114",VLOOKUP("KM114",Languages!$A:$D,Summary!$C$7,TRUE),NA())</f>
        <v>Ulkoinen viittaus</v>
      </c>
      <c r="S12" s="905" t="str">
        <f>IF(VLOOKUP("KM115",Languages!$A:$D,1,TRUE)="KM115",VLOOKUP("KM115",Languages!$A:$D,Summary!$C$7,TRUE),NA())</f>
        <v>Kehityskohde</v>
      </c>
      <c r="T12" s="803"/>
      <c r="U12" s="274"/>
    </row>
    <row r="13" spans="1:21" s="278" customFormat="1" ht="30" customHeight="1" x14ac:dyDescent="0.25">
      <c r="A13" s="275"/>
      <c r="B13" s="276"/>
      <c r="C13" s="1198" t="str">
        <f>IF(VLOOKUP(CONCATENATE($C$3,"-",$C12,"-0"),Languages!$A:$D,1,TRUE)=CONCATENATE($C$3,"-",$C12,"-0"),VLOOKUP(CONCATENATE($C$3,"-",$C12,"-0"),Languages!$A:$D,Summary!$C$7,TRUE),NA())</f>
        <v>Organisaation tulee tunnistaa oma roolinsa yhteiskunnan kannalta kriittisten palveluiden tuottamisessa, tietää mitä näiden palveluiden tuottaminen vaatii ja ymmärtää millaiset vaikutukset palveluiden vikaantumisella saattaisi olla.</v>
      </c>
      <c r="D13" s="1198"/>
      <c r="E13" s="1198"/>
      <c r="F13" s="1198"/>
      <c r="G13" s="1198"/>
      <c r="H13" s="1198"/>
      <c r="I13" s="1198"/>
      <c r="J13" s="1198"/>
      <c r="K13" s="1198"/>
      <c r="L13" s="277"/>
      <c r="M13" s="275"/>
      <c r="N13" s="802"/>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03"/>
      <c r="U13" s="275"/>
    </row>
    <row r="14" spans="1:21" s="177" customFormat="1" ht="30" customHeight="1" x14ac:dyDescent="0.3">
      <c r="A14" s="166"/>
      <c r="B14" s="269"/>
      <c r="C14" s="270">
        <v>2</v>
      </c>
      <c r="D14" s="270" t="str">
        <f>IF(VLOOKUP(CONCATENATE($C$3,"-",C14),Languages!$A:$D,1,TRUE)=CONCATENATE($C$3,"-",C14),VLOOKUP(CONCATENATE($C$3,"-",C14),Languages!$A:$D,Summary!$C$7,TRUE),NA())</f>
        <v>Kriittisten palveluiden hallinta</v>
      </c>
      <c r="E14" s="170"/>
      <c r="F14" s="271"/>
      <c r="G14" s="271"/>
      <c r="H14" s="272"/>
      <c r="I14" s="272"/>
      <c r="J14" s="272"/>
      <c r="K14" s="272"/>
      <c r="L14" s="173"/>
      <c r="M14" s="174"/>
      <c r="N14" s="802"/>
      <c r="O14" s="1203"/>
      <c r="P14" s="1185"/>
      <c r="Q14" s="1185"/>
      <c r="R14" s="1185"/>
      <c r="S14" s="1185"/>
      <c r="T14" s="803"/>
      <c r="U14" s="174"/>
    </row>
    <row r="15" spans="1:21" s="278" customFormat="1" ht="30" customHeight="1" x14ac:dyDescent="0.25">
      <c r="A15" s="275"/>
      <c r="B15" s="276"/>
      <c r="C15" s="1198" t="str">
        <f>IF(VLOOKUP(CONCATENATE($C$3,"-",$C14,"-0"),Languages!$A:$D,1,TRUE)=CONCATENATE($C$3,"-",$C14,"-0"),VLOOKUP(CONCATENATE($C$3,"-",$C14,"-0"),Languages!$A:$D,Summary!$C$7,TRUE),NA())</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D15" s="1198"/>
      <c r="E15" s="1198"/>
      <c r="F15" s="1198"/>
      <c r="G15" s="1198"/>
      <c r="H15" s="1198"/>
      <c r="I15" s="1198"/>
      <c r="J15" s="1198"/>
      <c r="K15" s="1198"/>
      <c r="L15" s="277"/>
      <c r="M15" s="305"/>
      <c r="N15" s="802"/>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03"/>
      <c r="U15" s="305"/>
    </row>
    <row r="16" spans="1:21" s="177" customFormat="1" ht="30" customHeight="1" x14ac:dyDescent="0.3">
      <c r="A16" s="166"/>
      <c r="B16" s="269"/>
      <c r="C16" s="270">
        <v>3</v>
      </c>
      <c r="D16" s="270" t="str">
        <f>IF(VLOOKUP(CONCATENATE($C$3,"-",C16),Languages!$A:$D,1,TRUE)=CONCATENATE($C$3,"-",C16),VLOOKUP(CONCATENATE($C$3,"-",C16),Languages!$A:$D,Summary!$C$7,TRUE),NA())</f>
        <v>Kriittisten palveluiden kyberhäiriöiden vaikutusten minimointi</v>
      </c>
      <c r="E16" s="170"/>
      <c r="F16" s="271"/>
      <c r="G16" s="271"/>
      <c r="H16" s="272"/>
      <c r="I16" s="272"/>
      <c r="J16" s="272"/>
      <c r="K16" s="272"/>
      <c r="L16" s="173"/>
      <c r="M16" s="174"/>
      <c r="N16" s="802"/>
      <c r="O16" s="1203"/>
      <c r="P16" s="1185"/>
      <c r="Q16" s="1185"/>
      <c r="R16" s="1185"/>
      <c r="S16" s="1185"/>
      <c r="T16" s="803"/>
      <c r="U16" s="174"/>
    </row>
    <row r="17" spans="1:21" s="278" customFormat="1" ht="52.2" customHeight="1" x14ac:dyDescent="0.25">
      <c r="A17" s="305"/>
      <c r="B17" s="306"/>
      <c r="C17" s="1198" t="str">
        <f>IF(VLOOKUP(CONCATENATE($C$3,"-",$C16,"-0"),Languages!$A:$D,1,TRUE)=CONCATENATE($C$3,"-",$C16,"-0"),VLOOKUP(CONCATENATE($C$3,"-",$C16,"-0"),Languages!$A:$D,Summary!$C$7,TRUE),NA())</f>
        <v>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D17" s="1198"/>
      <c r="E17" s="1198"/>
      <c r="F17" s="1198"/>
      <c r="G17" s="1198"/>
      <c r="H17" s="1198"/>
      <c r="I17" s="1198"/>
      <c r="J17" s="1198"/>
      <c r="K17" s="1198"/>
      <c r="L17" s="277"/>
      <c r="M17" s="305"/>
      <c r="N17" s="802"/>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03"/>
      <c r="U17" s="305"/>
    </row>
    <row r="18" spans="1:21" s="278" customFormat="1" ht="28.2" customHeight="1" x14ac:dyDescent="0.25">
      <c r="A18" s="305"/>
      <c r="B18" s="306"/>
      <c r="C18" s="1116"/>
      <c r="D18" s="1116"/>
      <c r="E18" s="1116"/>
      <c r="F18" s="1116"/>
      <c r="G18" s="1116"/>
      <c r="H18" s="1116"/>
      <c r="I18" s="1116"/>
      <c r="J18" s="1116"/>
      <c r="K18" s="1116"/>
      <c r="L18" s="277"/>
      <c r="M18" s="305"/>
      <c r="N18" s="1130"/>
      <c r="O18" s="1203"/>
      <c r="P18" s="1185"/>
      <c r="Q18" s="1185"/>
      <c r="R18" s="1185"/>
      <c r="S18" s="1185"/>
      <c r="T18" s="1130"/>
      <c r="U18" s="305"/>
    </row>
    <row r="19" spans="1:21" s="278" customFormat="1" ht="17.399999999999999" customHeight="1" x14ac:dyDescent="0.25">
      <c r="A19" s="305"/>
      <c r="B19" s="1121"/>
      <c r="C19" s="1122"/>
      <c r="D19" s="1122"/>
      <c r="E19" s="1122"/>
      <c r="F19" s="1122"/>
      <c r="G19" s="1122"/>
      <c r="H19" s="1122"/>
      <c r="I19" s="1122"/>
      <c r="J19" s="1122"/>
      <c r="K19" s="1122"/>
      <c r="L19" s="1129"/>
      <c r="M19" s="305"/>
      <c r="N19" s="804"/>
      <c r="O19" s="1120"/>
      <c r="P19" s="1120"/>
      <c r="Q19" s="1120"/>
      <c r="R19" s="1120"/>
      <c r="S19" s="1120"/>
      <c r="T19" s="805"/>
      <c r="U19" s="305"/>
    </row>
    <row r="20" spans="1:21" s="278" customFormat="1" ht="18" customHeight="1" x14ac:dyDescent="0.25">
      <c r="A20" s="305"/>
      <c r="B20" s="655"/>
      <c r="C20" s="655"/>
      <c r="D20" s="655"/>
      <c r="E20" s="655"/>
      <c r="F20" s="655"/>
      <c r="G20" s="655"/>
      <c r="H20" s="655"/>
      <c r="I20" s="655"/>
      <c r="J20" s="655"/>
      <c r="K20" s="655"/>
      <c r="L20" s="656"/>
      <c r="M20" s="135"/>
      <c r="N20" s="135"/>
      <c r="O20" s="251"/>
      <c r="P20" s="250"/>
      <c r="Q20" s="771"/>
      <c r="R20" s="250"/>
      <c r="S20" s="250"/>
      <c r="T20" s="135"/>
      <c r="U20" s="135"/>
    </row>
    <row r="21" spans="1:21" s="278" customFormat="1" ht="19.95" customHeight="1" x14ac:dyDescent="0.2">
      <c r="A21" s="305"/>
      <c r="B21" s="649"/>
      <c r="C21" s="647"/>
      <c r="D21" s="647"/>
      <c r="E21" s="647"/>
      <c r="F21" s="647"/>
      <c r="G21" s="647"/>
      <c r="H21" s="647"/>
      <c r="I21" s="647"/>
      <c r="J21" s="647"/>
      <c r="K21" s="647"/>
      <c r="L21" s="648"/>
      <c r="M21" s="252"/>
      <c r="N21" s="464" t="str">
        <f>IF(VLOOKUP("KM116",Languages!$A:$D,1,TRUE)="KM116",VLOOKUP("KM116",Languages!$A:$D,Summary!$C$7,TRUE),NA())</f>
        <v>EDELLINEN ARVIOINTI</v>
      </c>
      <c r="O21" s="430"/>
      <c r="P21" s="255"/>
      <c r="Q21" s="772" t="str">
        <f>IF(VLOOKUP("KM110",Languages!$A:$D,1,TRUE)="KM110",VLOOKUP("KM110",Languages!$A:$D,Summary!$C$7,TRUE),NA())</f>
        <v>Päivämäärä</v>
      </c>
      <c r="R21" s="255"/>
      <c r="S21" s="255"/>
      <c r="T21" s="147"/>
      <c r="U21" s="252"/>
    </row>
    <row r="22" spans="1:21" s="278" customFormat="1" ht="19.95" customHeight="1" x14ac:dyDescent="0.3">
      <c r="A22" s="305"/>
      <c r="B22" s="649"/>
      <c r="C22" s="270">
        <v>1</v>
      </c>
      <c r="D22" s="270" t="str">
        <f>IF(VLOOKUP(CONCATENATE($C$3,"-",C22),Languages!$A:$D,1,TRUE)=CONCATENATE($C$3,"-",C22),VLOOKUP(CONCATENATE($C$3,"-",C22),Languages!$A:$D,Summary!$C$7,TRUE),NA())</f>
        <v>Kriittisten palveluiden ja niiden riippuvuuksien tunnistaminen</v>
      </c>
      <c r="E22" s="270"/>
      <c r="F22" s="647"/>
      <c r="G22" s="647"/>
      <c r="H22" s="647"/>
      <c r="I22" s="647"/>
      <c r="J22" s="647"/>
      <c r="K22" s="647"/>
      <c r="L22" s="648"/>
      <c r="M22" s="305"/>
      <c r="N22" s="306"/>
      <c r="O22" s="431"/>
      <c r="P22" s="426"/>
      <c r="Q22" s="697"/>
      <c r="R22" s="639"/>
      <c r="S22" s="639"/>
      <c r="T22" s="277"/>
      <c r="U22" s="305"/>
    </row>
    <row r="23" spans="1:21" s="285" customFormat="1" ht="19.95" customHeight="1" x14ac:dyDescent="0.2">
      <c r="A23" s="304"/>
      <c r="B23" s="279"/>
      <c r="C23" s="280" t="str">
        <f>IF(VLOOKUP("GEN-LEVEL",Languages!$A:$D,1,TRUE)="GEN-LEVEL",VLOOKUP("GEN-LEVEL",Languages!$A:$D,Summary!$C$7,TRUE),NA())</f>
        <v>Taso</v>
      </c>
      <c r="D23" s="280"/>
      <c r="E23" s="281" t="str">
        <f>IF(VLOOKUP("GEN-PRACTICE",Languages!$A:$D,1,TRUE)="GEN-PRACTICE",VLOOKUP("GEN-PRACTICE",Languages!$A:$D,Summary!$C$7,TRUE),NA())</f>
        <v>Käytäntö</v>
      </c>
      <c r="F23" s="282"/>
      <c r="G23" s="904" t="str">
        <f>IF(VLOOKUP("GEN-ANSWER",Languages!$A:$D,1,TRUE)="GEN-ANSWER",VLOOKUP("GEN-ANSWER",Languages!$A:$D,Summary!$C$7,TRUE),NA())</f>
        <v>Vastaus</v>
      </c>
      <c r="H23" s="905" t="str">
        <f>IF(VLOOKUP("KM112",Languages!$A:$D,1,TRUE)="KM112",VLOOKUP("KM112",Languages!$A:$D,Summary!$C$7,TRUE),NA())</f>
        <v>Kommentit</v>
      </c>
      <c r="I23" s="905" t="str">
        <f>IF(VLOOKUP("KM113",Languages!$A:$D,1,TRUE)="KM113",VLOOKUP("KM113",Languages!$A:$D,Summary!$C$7,TRUE),NA())</f>
        <v>Sisäinen viittaus</v>
      </c>
      <c r="J23" s="905" t="str">
        <f>IF(VLOOKUP("KM114",Languages!$A:$D,1,TRUE)="KM114",VLOOKUP("KM114",Languages!$A:$D,Summary!$C$7,TRUE),NA())</f>
        <v>Ulkoinen viittaus</v>
      </c>
      <c r="K23" s="905" t="str">
        <f>IF(VLOOKUP("KM115",Languages!$A:$D,1,TRUE)="KM115",VLOOKUP("KM115",Languages!$A:$D,Summary!$C$7,TRUE),NA())</f>
        <v>Kehityskohde</v>
      </c>
      <c r="L23" s="283"/>
      <c r="M23" s="284"/>
      <c r="N23" s="279"/>
      <c r="O23" s="463" t="str">
        <f>IF(VLOOKUP("GEN-ANSWER",Languages!$A:$D,1,TRUE)="GEN-ANSWER",VLOOKUP("GEN-ANSWER",Languages!$A:$D,Summary!$C$7,TRUE),NA())</f>
        <v>Vastaus</v>
      </c>
      <c r="P23" s="463" t="str">
        <f>IF(VLOOKUP("KM112",Languages!$A:$D,1,TRUE)="KM112",VLOOKUP("KM112",Languages!$A:$D,Summary!$C$7,TRUE),NA())</f>
        <v>Kommentit</v>
      </c>
      <c r="Q23" s="463" t="str">
        <f>IF(VLOOKUP("KM113",Languages!$A:$D,1,TRUE)="KM113",VLOOKUP("KM113",Languages!$A:$D,Summary!$C$7,TRUE),NA())</f>
        <v>Sisäinen viittaus</v>
      </c>
      <c r="R23" s="463" t="str">
        <f>IF(VLOOKUP("KM114",Languages!$A:$D,1,TRUE)="KM114",VLOOKUP("KM114",Languages!$A:$D,Summary!$C$7,TRUE),NA())</f>
        <v>Ulkoinen viittaus</v>
      </c>
      <c r="S23" s="463" t="str">
        <f>IF(VLOOKUP("KM115",Languages!$A:$D,1,TRUE)="KM115",VLOOKUP("KM115",Languages!$A:$D,Summary!$C$7,TRUE),NA())</f>
        <v>Kehityskohde</v>
      </c>
      <c r="T23" s="283"/>
      <c r="U23" s="284"/>
    </row>
    <row r="24" spans="1:21" s="289" customFormat="1" ht="34.950000000000003" customHeight="1" x14ac:dyDescent="0.25">
      <c r="A24" s="275"/>
      <c r="B24" s="1190"/>
      <c r="C24" s="1191">
        <v>1</v>
      </c>
      <c r="D24" s="387" t="s">
        <v>5</v>
      </c>
      <c r="E24" s="419" t="str">
        <f>IF(VLOOKUP(CONCATENATE($C$3,"-",$D24),Languages!$A:$D,1,TRUE)=CONCATENATE($C$3,"-",$D24),VLOOKUP(CONCATENATE($C$3,"-",$D24),Languages!$A:$D,Summary!$C$7,TRUE),NA())</f>
        <v>Organisaation tuottamat yhteiskunnalle kriittiset palvelut on tunnistettu ja dokumentoitu.</v>
      </c>
      <c r="F24" s="386">
        <f t="shared" ref="F24:F31" si="0">IFERROR(INT(LEFT($G24,1)),0)</f>
        <v>0</v>
      </c>
      <c r="G24" s="445" t="s">
        <v>2542</v>
      </c>
      <c r="H24" s="498"/>
      <c r="I24" s="446"/>
      <c r="J24" s="446"/>
      <c r="K24" s="447"/>
      <c r="L24" s="288"/>
      <c r="M24" s="275"/>
      <c r="N24" s="1190"/>
      <c r="O24" s="955" t="str">
        <f>VLOOKUP(VLOOKUP($C$3&amp;"-"&amp;$D24,Import!$C:$D,2,FALSE),Parameters!$C$18:$F$22,Summary!$C$7,FALSE)</f>
        <v xml:space="preserve">0 - Vastaus puuttuu </v>
      </c>
      <c r="P24" s="931" t="str">
        <f>IF(VLOOKUP($C$3&amp;"-"&amp;$D24,Import!$C:$H,3,FALSE)=0,"",VLOOKUP($C$3&amp;"-"&amp;$D24,Import!$C:$H,3,FALSE))</f>
        <v/>
      </c>
      <c r="Q24" s="931" t="str">
        <f>IF(VLOOKUP($C$3&amp;"-"&amp;$D24,Import!$C:$H,4,FALSE)=0,"",VLOOKUP($C$3&amp;"-"&amp;$D24,Import!$C:$H,4,FALSE))</f>
        <v/>
      </c>
      <c r="R24" s="931" t="str">
        <f>IF(VLOOKUP($C$3&amp;"-"&amp;$D24,Import!$C:$H,5,FALSE)=0,"",VLOOKUP($C$3&amp;"-"&amp;$D24,Import!$C:$H,5,FALSE))</f>
        <v/>
      </c>
      <c r="S24" s="932" t="str">
        <f>IF(VLOOKUP($C$3&amp;"-"&amp;$D24,Import!$C:$H,6,FALSE)=0,"",VLOOKUP($C$3&amp;"-"&amp;$D24,Import!$C:$H,6,FALSE))</f>
        <v/>
      </c>
      <c r="T24" s="288"/>
      <c r="U24" s="275"/>
    </row>
    <row r="25" spans="1:21" s="289" customFormat="1" ht="34.950000000000003" customHeight="1" x14ac:dyDescent="0.25">
      <c r="A25" s="275"/>
      <c r="B25" s="1190"/>
      <c r="C25" s="1192"/>
      <c r="D25" s="286" t="s">
        <v>7</v>
      </c>
      <c r="E25" s="416" t="str">
        <f>IF(VLOOKUP(CONCATENATE($C$3,"-",$D25),Languages!$A:$D,1,TRUE)=CONCATENATE($C$3,"-",$D25),VLOOKUP(CONCATENATE($C$3,"-",$D25),Languages!$A:$D,Summary!$C$7,TRUE),NA())</f>
        <v>(Yhteiskunnalle kriittisten) palveluiden tuottamiseen tarvittava data on tunnistettu ja dokumentoitu.</v>
      </c>
      <c r="F25" s="287">
        <f t="shared" si="0"/>
        <v>0</v>
      </c>
      <c r="G25" s="307" t="s">
        <v>2542</v>
      </c>
      <c r="H25" s="440"/>
      <c r="I25" s="440"/>
      <c r="J25" s="440"/>
      <c r="K25" s="448"/>
      <c r="L25" s="288"/>
      <c r="M25" s="275"/>
      <c r="N25" s="1190"/>
      <c r="O25" s="956" t="str">
        <f>VLOOKUP(VLOOKUP($C$3&amp;"-"&amp;$D25,Import!$C:$D,2,FALSE),Parameters!$C$18:$F$22,Summary!$C$7,FALSE)</f>
        <v xml:space="preserve">0 - Vastaus puuttuu </v>
      </c>
      <c r="P25" s="914" t="str">
        <f>IF(VLOOKUP($C$3&amp;"-"&amp;$D25,Import!$C:$H,3,FALSE)=0,"",VLOOKUP($C$3&amp;"-"&amp;$D25,Import!$C:$H,3,FALSE))</f>
        <v/>
      </c>
      <c r="Q25" s="914" t="str">
        <f>IF(VLOOKUP($C$3&amp;"-"&amp;$D25,Import!$C:$H,4,FALSE)=0,"",VLOOKUP($C$3&amp;"-"&amp;$D25,Import!$C:$H,4,FALSE))</f>
        <v/>
      </c>
      <c r="R25" s="914" t="str">
        <f>IF(VLOOKUP($C$3&amp;"-"&amp;$D25,Import!$C:$H,5,FALSE)=0,"",VLOOKUP($C$3&amp;"-"&amp;$D25,Import!$C:$H,5,FALSE))</f>
        <v/>
      </c>
      <c r="S25" s="915" t="str">
        <f>IF(VLOOKUP($C$3&amp;"-"&amp;$D25,Import!$C:$H,6,FALSE)=0,"",VLOOKUP($C$3&amp;"-"&amp;$D25,Import!$C:$H,6,FALSE))</f>
        <v/>
      </c>
      <c r="T25" s="288"/>
      <c r="U25" s="275"/>
    </row>
    <row r="26" spans="1:21" s="289" customFormat="1" ht="34.950000000000003" customHeight="1" x14ac:dyDescent="0.25">
      <c r="A26" s="275"/>
      <c r="B26" s="1190"/>
      <c r="C26" s="1192"/>
      <c r="D26" s="286" t="s">
        <v>8</v>
      </c>
      <c r="E26" s="416" t="str">
        <f>IF(VLOOKUP(CONCATENATE($C$3,"-",$D26),Languages!$A:$D,1,TRUE)=CONCATENATE($C$3,"-",$D26),VLOOKUP(CONCATENATE($C$3,"-",$D26),Languages!$A:$D,Summary!$C$7,TRUE),NA())</f>
        <v>Palveluiden tuottamiseen tarvittavat prosessit on tunnistettu ja dokumentoitu.</v>
      </c>
      <c r="F26" s="287">
        <f t="shared" si="0"/>
        <v>0</v>
      </c>
      <c r="G26" s="307" t="s">
        <v>2542</v>
      </c>
      <c r="H26" s="440"/>
      <c r="I26" s="440"/>
      <c r="J26" s="440"/>
      <c r="K26" s="448"/>
      <c r="L26" s="288"/>
      <c r="M26" s="275"/>
      <c r="N26" s="1190"/>
      <c r="O26" s="956" t="str">
        <f>VLOOKUP(VLOOKUP($C$3&amp;"-"&amp;$D26,Import!$C:$D,2,FALSE),Parameters!$C$18:$F$22,Summary!$C$7,FALSE)</f>
        <v xml:space="preserve">0 - Vastaus puuttuu </v>
      </c>
      <c r="P26" s="914" t="str">
        <f>IF(VLOOKUP($C$3&amp;"-"&amp;$D26,Import!$C:$H,3,FALSE)=0,"",VLOOKUP($C$3&amp;"-"&amp;$D26,Import!$C:$H,3,FALSE))</f>
        <v/>
      </c>
      <c r="Q26" s="914" t="str">
        <f>IF(VLOOKUP($C$3&amp;"-"&amp;$D26,Import!$C:$H,4,FALSE)=0,"",VLOOKUP($C$3&amp;"-"&amp;$D26,Import!$C:$H,4,FALSE))</f>
        <v/>
      </c>
      <c r="R26" s="914" t="str">
        <f>IF(VLOOKUP($C$3&amp;"-"&amp;$D26,Import!$C:$H,5,FALSE)=0,"",VLOOKUP($C$3&amp;"-"&amp;$D26,Import!$C:$H,5,FALSE))</f>
        <v/>
      </c>
      <c r="S26" s="915" t="str">
        <f>IF(VLOOKUP($C$3&amp;"-"&amp;$D26,Import!$C:$H,6,FALSE)=0,"",VLOOKUP($C$3&amp;"-"&amp;$D26,Import!$C:$H,6,FALSE))</f>
        <v/>
      </c>
      <c r="T26" s="288"/>
      <c r="U26" s="275"/>
    </row>
    <row r="27" spans="1:21" s="289" customFormat="1" ht="34.950000000000003" customHeight="1" x14ac:dyDescent="0.25">
      <c r="A27" s="275"/>
      <c r="B27" s="1190"/>
      <c r="C27" s="1193"/>
      <c r="D27" s="407" t="s">
        <v>9</v>
      </c>
      <c r="E27" s="421" t="str">
        <f>IF(VLOOKUP(CONCATENATE($C$3,"-",$D27),Languages!$A:$D,1,TRUE)=CONCATENATE($C$3,"-",$D27),VLOOKUP(CONCATENATE($C$3,"-",$D27),Languages!$A:$D,Summary!$C$7,TRUE),NA())</f>
        <v>Palveluiden tuottamiseen tarvittavat järjestelmät (IT- ja OT-omaisuus) on tunnistettu ja dokumentoitu.</v>
      </c>
      <c r="F27" s="393">
        <f t="shared" si="0"/>
        <v>0</v>
      </c>
      <c r="G27" s="449" t="s">
        <v>2542</v>
      </c>
      <c r="H27" s="441"/>
      <c r="I27" s="441"/>
      <c r="J27" s="441"/>
      <c r="K27" s="450"/>
      <c r="L27" s="288"/>
      <c r="M27" s="275"/>
      <c r="N27" s="1190"/>
      <c r="O27" s="957" t="str">
        <f>VLOOKUP(VLOOKUP($C$3&amp;"-"&amp;$D27,Import!$C:$D,2,FALSE),Parameters!$C$18:$F$22,Summary!$C$7,FALSE)</f>
        <v xml:space="preserve">0 - Vastaus puuttuu </v>
      </c>
      <c r="P27" s="933" t="str">
        <f>IF(VLOOKUP($C$3&amp;"-"&amp;$D27,Import!$C:$H,3,FALSE)=0,"",VLOOKUP($C$3&amp;"-"&amp;$D27,Import!$C:$H,3,FALSE))</f>
        <v/>
      </c>
      <c r="Q27" s="933" t="str">
        <f>IF(VLOOKUP($C$3&amp;"-"&amp;$D27,Import!$C:$H,4,FALSE)=0,"",VLOOKUP($C$3&amp;"-"&amp;$D27,Import!$C:$H,4,FALSE))</f>
        <v/>
      </c>
      <c r="R27" s="933" t="str">
        <f>IF(VLOOKUP($C$3&amp;"-"&amp;$D27,Import!$C:$H,5,FALSE)=0,"",VLOOKUP($C$3&amp;"-"&amp;$D27,Import!$C:$H,5,FALSE))</f>
        <v/>
      </c>
      <c r="S27" s="934" t="str">
        <f>IF(VLOOKUP($C$3&amp;"-"&amp;$D27,Import!$C:$H,6,FALSE)=0,"",VLOOKUP($C$3&amp;"-"&amp;$D27,Import!$C:$H,6,FALSE))</f>
        <v/>
      </c>
      <c r="T27" s="288"/>
      <c r="U27" s="275"/>
    </row>
    <row r="28" spans="1:21" s="289" customFormat="1" ht="34.950000000000003" customHeight="1" x14ac:dyDescent="0.25">
      <c r="A28" s="275"/>
      <c r="B28" s="1190"/>
      <c r="C28" s="1187">
        <v>2</v>
      </c>
      <c r="D28" s="389" t="s">
        <v>10</v>
      </c>
      <c r="E28" s="418" t="str">
        <f>IF(VLOOKUP(CONCATENATE($C$3,"-",$D28),Languages!$A:$D,1,TRUE)=CONCATENATE($C$3,"-",$D28),VLOOKUP(CONCATENATE($C$3,"-",$D28),Languages!$A:$D,Summary!$C$7,TRUE),NA())</f>
        <v>Palveluiden tuottamiseen tarvittavat tilat ja laitteet on tunnistettu ja dokumentoitu.</v>
      </c>
      <c r="F28" s="386">
        <f t="shared" si="0"/>
        <v>0</v>
      </c>
      <c r="G28" s="445" t="s">
        <v>2542</v>
      </c>
      <c r="H28" s="442"/>
      <c r="I28" s="442"/>
      <c r="J28" s="442"/>
      <c r="K28" s="451"/>
      <c r="L28" s="291"/>
      <c r="M28" s="305"/>
      <c r="N28" s="1190"/>
      <c r="O28" s="955" t="str">
        <f>VLOOKUP(VLOOKUP($C$3&amp;"-"&amp;$D28,Import!$C:$D,2,FALSE),Parameters!$C$18:$F$22,Summary!$C$7,FALSE)</f>
        <v xml:space="preserve">0 - Vastaus puuttuu </v>
      </c>
      <c r="P28" s="921" t="str">
        <f>IF(VLOOKUP($C$3&amp;"-"&amp;$D28,Import!$C:$H,3,FALSE)=0,"",VLOOKUP($C$3&amp;"-"&amp;$D28,Import!$C:$H,3,FALSE))</f>
        <v/>
      </c>
      <c r="Q28" s="921" t="str">
        <f>IF(VLOOKUP($C$3&amp;"-"&amp;$D28,Import!$C:$H,4,FALSE)=0,"",VLOOKUP($C$3&amp;"-"&amp;$D28,Import!$C:$H,4,FALSE))</f>
        <v/>
      </c>
      <c r="R28" s="921" t="str">
        <f>IF(VLOOKUP($C$3&amp;"-"&amp;$D28,Import!$C:$H,5,FALSE)=0,"",VLOOKUP($C$3&amp;"-"&amp;$D28,Import!$C:$H,5,FALSE))</f>
        <v/>
      </c>
      <c r="S28" s="922" t="str">
        <f>IF(VLOOKUP($C$3&amp;"-"&amp;$D28,Import!$C:$H,6,FALSE)=0,"",VLOOKUP($C$3&amp;"-"&amp;$D28,Import!$C:$H,6,FALSE))</f>
        <v/>
      </c>
      <c r="T28" s="291"/>
      <c r="U28" s="305"/>
    </row>
    <row r="29" spans="1:21" s="289" customFormat="1" ht="34.950000000000003" customHeight="1" x14ac:dyDescent="0.25">
      <c r="A29" s="275"/>
      <c r="B29" s="1190"/>
      <c r="C29" s="1188"/>
      <c r="D29" s="290" t="s">
        <v>11</v>
      </c>
      <c r="E29" s="417" t="str">
        <f>IF(VLOOKUP(CONCATENATE($C$3,"-",$D29),Languages!$A:$D,1,TRUE)=CONCATENATE($C$3,"-",$D29),VLOOKUP(CONCATENATE($C$3,"-",$D29),Languages!$A:$D,Summary!$C$7,TRUE),NA())</f>
        <v>Palveluiden tuottamiseen tarvittavat toimitusketjut on tunnistettu ja dokumentoitu.</v>
      </c>
      <c r="F29" s="287">
        <f t="shared" si="0"/>
        <v>0</v>
      </c>
      <c r="G29" s="307" t="s">
        <v>2542</v>
      </c>
      <c r="H29" s="443"/>
      <c r="I29" s="443"/>
      <c r="J29" s="443"/>
      <c r="K29" s="452"/>
      <c r="L29" s="291"/>
      <c r="M29" s="305"/>
      <c r="N29" s="1190"/>
      <c r="O29" s="956" t="str">
        <f>VLOOKUP(VLOOKUP($C$3&amp;"-"&amp;$D29,Import!$C:$D,2,FALSE),Parameters!$C$18:$F$22,Summary!$C$7,FALSE)</f>
        <v xml:space="preserve">0 - Vastaus puuttuu </v>
      </c>
      <c r="P29" s="916" t="str">
        <f>IF(VLOOKUP($C$3&amp;"-"&amp;$D29,Import!$C:$H,3,FALSE)=0,"",VLOOKUP($C$3&amp;"-"&amp;$D29,Import!$C:$H,3,FALSE))</f>
        <v/>
      </c>
      <c r="Q29" s="916" t="str">
        <f>IF(VLOOKUP($C$3&amp;"-"&amp;$D29,Import!$C:$H,4,FALSE)=0,"",VLOOKUP($C$3&amp;"-"&amp;$D29,Import!$C:$H,4,FALSE))</f>
        <v/>
      </c>
      <c r="R29" s="916" t="str">
        <f>IF(VLOOKUP($C$3&amp;"-"&amp;$D29,Import!$C:$H,5,FALSE)=0,"",VLOOKUP($C$3&amp;"-"&amp;$D29,Import!$C:$H,5,FALSE))</f>
        <v/>
      </c>
      <c r="S29" s="917" t="str">
        <f>IF(VLOOKUP($C$3&amp;"-"&amp;$D29,Import!$C:$H,6,FALSE)=0,"",VLOOKUP($C$3&amp;"-"&amp;$D29,Import!$C:$H,6,FALSE))</f>
        <v/>
      </c>
      <c r="T29" s="291"/>
      <c r="U29" s="305"/>
    </row>
    <row r="30" spans="1:21" s="289" customFormat="1" ht="68.400000000000006" customHeight="1" x14ac:dyDescent="0.25">
      <c r="A30" s="275"/>
      <c r="B30" s="1186"/>
      <c r="C30" s="1189"/>
      <c r="D30" s="392" t="s">
        <v>12</v>
      </c>
      <c r="E30" s="421" t="str">
        <f>IF(VLOOKUP(CONCATENATE($C$3,"-",$D30),Languages!$A:$D,1,TRUE)=CONCATENATE($C$3,"-",$D30),VLOOKUP(CONCATENATE($C$3,"-",$D30),Languages!$A:$D,Summary!$C$7,TRUE),NA())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30" s="393">
        <f t="shared" si="0"/>
        <v>0</v>
      </c>
      <c r="G30" s="449" t="s">
        <v>2542</v>
      </c>
      <c r="H30" s="444"/>
      <c r="I30" s="444"/>
      <c r="J30" s="444"/>
      <c r="K30" s="453"/>
      <c r="L30" s="291"/>
      <c r="M30" s="305"/>
      <c r="N30" s="1186"/>
      <c r="O30" s="957" t="str">
        <f>VLOOKUP(VLOOKUP($C$3&amp;"-"&amp;$D30,Import!$C:$D,2,FALSE),Parameters!$C$18:$F$22,Summary!$C$7,FALSE)</f>
        <v xml:space="preserve">0 - Vastaus puuttuu </v>
      </c>
      <c r="P30" s="923" t="str">
        <f>IF(VLOOKUP($C$3&amp;"-"&amp;$D30,Import!$C:$H,3,FALSE)=0,"",VLOOKUP($C$3&amp;"-"&amp;$D30,Import!$C:$H,3,FALSE))</f>
        <v/>
      </c>
      <c r="Q30" s="923" t="str">
        <f>IF(VLOOKUP($C$3&amp;"-"&amp;$D30,Import!$C:$H,4,FALSE)=0,"",VLOOKUP($C$3&amp;"-"&amp;$D30,Import!$C:$H,4,FALSE))</f>
        <v/>
      </c>
      <c r="R30" s="923" t="str">
        <f>IF(VLOOKUP($C$3&amp;"-"&amp;$D30,Import!$C:$H,5,FALSE)=0,"",VLOOKUP($C$3&amp;"-"&amp;$D30,Import!$C:$H,5,FALSE))</f>
        <v/>
      </c>
      <c r="S30" s="924" t="str">
        <f>IF(VLOOKUP($C$3&amp;"-"&amp;$D30,Import!$C:$H,6,FALSE)=0,"",VLOOKUP($C$3&amp;"-"&amp;$D30,Import!$C:$H,6,FALSE))</f>
        <v/>
      </c>
      <c r="T30" s="291"/>
      <c r="U30" s="305"/>
    </row>
    <row r="31" spans="1:21" s="289" customFormat="1" ht="45" customHeight="1" x14ac:dyDescent="0.25">
      <c r="A31" s="275"/>
      <c r="B31" s="1186"/>
      <c r="C31" s="423">
        <v>3</v>
      </c>
      <c r="D31" s="414" t="s">
        <v>13</v>
      </c>
      <c r="E31" s="422" t="str">
        <f>IF(VLOOKUP(CONCATENATE($C$3,"-",$D31),Languages!$A:$D,1,TRUE)=CONCATENATE($C$3,"-",$D31),VLOOKUP(CONCATENATE($C$3,"-",$D31),Languages!$A:$D,Summary!$C$7,TRUE),NA())</f>
        <v>Palvelujen heikentymisen tai keskeytymisen aiheuttamat seurannaisvaikutukset yhteiskunnalle on tunnistettu ja dokumentoitu.</v>
      </c>
      <c r="F31" s="391">
        <f t="shared" si="0"/>
        <v>0</v>
      </c>
      <c r="G31" s="456" t="s">
        <v>2542</v>
      </c>
      <c r="H31" s="454"/>
      <c r="I31" s="454"/>
      <c r="J31" s="454"/>
      <c r="K31" s="455"/>
      <c r="L31" s="291"/>
      <c r="M31" s="305"/>
      <c r="N31" s="1186"/>
      <c r="O31" s="958" t="str">
        <f>VLOOKUP(VLOOKUP($C$3&amp;"-"&amp;$D31,Import!$C:$D,2,FALSE),Parameters!$C$18:$F$22,Summary!$C$7,FALSE)</f>
        <v xml:space="preserve">0 - Vastaus puuttuu </v>
      </c>
      <c r="P31" s="925" t="str">
        <f>IF(VLOOKUP($C$3&amp;"-"&amp;$D31,Import!$C:$H,3,FALSE)=0,"",VLOOKUP($C$3&amp;"-"&amp;$D31,Import!$C:$H,3,FALSE))</f>
        <v/>
      </c>
      <c r="Q31" s="925" t="str">
        <f>IF(VLOOKUP($C$3&amp;"-"&amp;$D31,Import!$C:$H,4,FALSE)=0,"",VLOOKUP($C$3&amp;"-"&amp;$D31,Import!$C:$H,4,FALSE))</f>
        <v/>
      </c>
      <c r="R31" s="925" t="str">
        <f>IF(VLOOKUP($C$3&amp;"-"&amp;$D31,Import!$C:$H,5,FALSE)=0,"",VLOOKUP($C$3&amp;"-"&amp;$D31,Import!$C:$H,5,FALSE))</f>
        <v/>
      </c>
      <c r="S31" s="926" t="str">
        <f>IF(VLOOKUP($C$3&amp;"-"&amp;$D31,Import!$C:$H,6,FALSE)=0,"",VLOOKUP($C$3&amp;"-"&amp;$D31,Import!$C:$H,6,FALSE))</f>
        <v/>
      </c>
      <c r="T31" s="291"/>
      <c r="U31" s="305"/>
    </row>
    <row r="32" spans="1:21" ht="12.6" x14ac:dyDescent="0.25">
      <c r="A32" s="657"/>
      <c r="G32" s="959"/>
      <c r="H32" s="960"/>
      <c r="I32" s="960"/>
      <c r="J32" s="960"/>
      <c r="K32" s="960"/>
      <c r="M32" s="658"/>
      <c r="T32" s="291"/>
      <c r="U32" s="305"/>
    </row>
    <row r="33" spans="1:21" ht="16.2" x14ac:dyDescent="0.3">
      <c r="A33" s="657"/>
      <c r="C33" s="270">
        <v>2</v>
      </c>
      <c r="D33" s="270" t="str">
        <f>IF(VLOOKUP(CONCATENATE($C$3,"-",C33),Languages!$A:$D,1,TRUE)=CONCATENATE($C$3,"-",C33),VLOOKUP(CONCATENATE($C$3,"-",C33),Languages!$A:$D,Summary!$C$7,TRUE),NA())</f>
        <v>Kriittisten palveluiden hallinta</v>
      </c>
      <c r="E33" s="170"/>
      <c r="G33" s="959"/>
      <c r="H33" s="960"/>
      <c r="I33" s="960"/>
      <c r="J33" s="960"/>
      <c r="K33" s="960"/>
      <c r="M33" s="658"/>
      <c r="T33" s="291"/>
      <c r="U33" s="305"/>
    </row>
    <row r="34" spans="1:21" s="285" customFormat="1" ht="19.95" customHeight="1" x14ac:dyDescent="0.2">
      <c r="A34" s="304"/>
      <c r="B34" s="279"/>
      <c r="C34" s="280" t="str">
        <f>IF(VLOOKUP("GEN-LEVEL",Languages!$A:$D,1,TRUE)="GEN-LEVEL",VLOOKUP("GEN-LEVEL",Languages!$A:$D,Summary!$C$7,TRUE),NA())</f>
        <v>Taso</v>
      </c>
      <c r="D34" s="280"/>
      <c r="E34" s="281" t="str">
        <f>IF(VLOOKUP("GEN-PRACTICE",Languages!$A:$D,1,TRUE)="GEN-PRACTICE",VLOOKUP("GEN-PRACTICE",Languages!$A:$D,Summary!$C$7,TRUE),NA())</f>
        <v>Käytäntö</v>
      </c>
      <c r="F34" s="282"/>
      <c r="G34" s="904" t="str">
        <f>IF(VLOOKUP("GEN-ANSWER",Languages!$A:$D,1,TRUE)="GEN-ANSWER",VLOOKUP("GEN-ANSWER",Languages!$A:$D,Summary!$C$7,TRUE),NA())</f>
        <v>Vastaus</v>
      </c>
      <c r="H34" s="905" t="str">
        <f>IF(VLOOKUP("KM112",Languages!$A:$D,1,TRUE)="KM112",VLOOKUP("KM112",Languages!$A:$D,Summary!$C$7,TRUE),NA())</f>
        <v>Kommentit</v>
      </c>
      <c r="I34" s="905" t="str">
        <f>IF(VLOOKUP("KM113",Languages!$A:$D,1,TRUE)="KM113",VLOOKUP("KM113",Languages!$A:$D,Summary!$C$7,TRUE),NA())</f>
        <v>Sisäinen viittaus</v>
      </c>
      <c r="J34" s="905" t="str">
        <f>IF(VLOOKUP("KM114",Languages!$A:$D,1,TRUE)="KM114",VLOOKUP("KM114",Languages!$A:$D,Summary!$C$7,TRUE),NA())</f>
        <v>Ulkoinen viittaus</v>
      </c>
      <c r="K34" s="905" t="str">
        <f>IF(VLOOKUP("KM115",Languages!$A:$D,1,TRUE)="KM115",VLOOKUP("KM115",Languages!$A:$D,Summary!$C$7,TRUE),NA())</f>
        <v>Kehityskohde</v>
      </c>
      <c r="L34" s="283"/>
      <c r="M34" s="284"/>
      <c r="N34" s="279"/>
      <c r="O34" s="463" t="str">
        <f>IF(VLOOKUP("GEN-ANSWER",Languages!$A:$D,1,TRUE)="GEN-ANSWER",VLOOKUP("GEN-ANSWER",Languages!$A:$D,Summary!$C$7,TRUE),NA())</f>
        <v>Vastaus</v>
      </c>
      <c r="P34" s="282" t="str">
        <f>IF(VLOOKUP("KM112",Languages!$A:$D,1,TRUE)="KM112",VLOOKUP("KM112",Languages!$A:$D,Summary!$C$7,TRUE),NA())</f>
        <v>Kommentit</v>
      </c>
      <c r="Q34" s="282" t="str">
        <f>IF(VLOOKUP("KM113",Languages!$A:$D,1,TRUE)="KM113",VLOOKUP("KM113",Languages!$A:$D,Summary!$C$7,TRUE),NA())</f>
        <v>Sisäinen viittaus</v>
      </c>
      <c r="R34" s="282" t="str">
        <f>IF(VLOOKUP("KM114",Languages!$A:$D,1,TRUE)="KM114",VLOOKUP("KM114",Languages!$A:$D,Summary!$C$7,TRUE),NA())</f>
        <v>Ulkoinen viittaus</v>
      </c>
      <c r="S34" s="282" t="str">
        <f>IF(VLOOKUP("KM115",Languages!$A:$D,1,TRUE)="KM115",VLOOKUP("KM115",Languages!$A:$D,Summary!$C$7,TRUE),NA())</f>
        <v>Kehityskohde</v>
      </c>
      <c r="T34" s="283"/>
      <c r="U34" s="284"/>
    </row>
    <row r="35" spans="1:21" s="296" customFormat="1" ht="64.8" customHeight="1" x14ac:dyDescent="0.25">
      <c r="A35" s="305"/>
      <c r="B35" s="1199"/>
      <c r="C35" s="1191">
        <v>1</v>
      </c>
      <c r="D35" s="395" t="s">
        <v>17</v>
      </c>
      <c r="E35" s="419" t="str">
        <f>IF(VLOOKUP(CONCATENATE($C$3,"-",$D35),Languages!$A:$D,1,TRUE)=CONCATENATE($C$3,"-",$D35),VLOOKUP(CONCATENATE($C$3,"-",$D35),Languages!$A:$D,Summary!$C$7,TRUE),NA())</f>
        <v>Kaikki resurssit (data, prosessit, järjestelmät, tilat ja toimitusketjut), joita tarvitaan (yhteiskunnalle kriittisten) palveluiden tuottamiseen, ovat organisaation turvallisuuden hallinnan politiikkojen ja prosessien piirissä.</v>
      </c>
      <c r="F35" s="386">
        <f>IFERROR(INT(LEFT($G35,1)),0)</f>
        <v>0</v>
      </c>
      <c r="G35" s="445" t="s">
        <v>2542</v>
      </c>
      <c r="H35" s="446"/>
      <c r="I35" s="446"/>
      <c r="J35" s="446"/>
      <c r="K35" s="447"/>
      <c r="L35" s="295"/>
      <c r="M35" s="305"/>
      <c r="N35" s="1199"/>
      <c r="O35" s="955" t="str">
        <f>VLOOKUP(VLOOKUP($C$3&amp;"-"&amp;$D35,Import!$C:$D,2,FALSE),Parameters!$C$18:$F$22,Summary!$C$7,FALSE)</f>
        <v xml:space="preserve">0 - Vastaus puuttuu </v>
      </c>
      <c r="P35" s="931" t="str">
        <f>IF(VLOOKUP($C$3&amp;"-"&amp;$D35,Import!$C:$H,3,FALSE)=0,"",VLOOKUP($C$3&amp;"-"&amp;$D35,Import!$C:$H,3,FALSE))</f>
        <v/>
      </c>
      <c r="Q35" s="931" t="str">
        <f>IF(VLOOKUP($C$3&amp;"-"&amp;$D35,Import!$C:$H,4,FALSE)=0,"",VLOOKUP($C$3&amp;"-"&amp;$D35,Import!$C:$H,4,FALSE))</f>
        <v/>
      </c>
      <c r="R35" s="931" t="str">
        <f>IF(VLOOKUP($C$3&amp;"-"&amp;$D35,Import!$C:$H,5,FALSE)=0,"",VLOOKUP($C$3&amp;"-"&amp;$D35,Import!$C:$H,5,FALSE))</f>
        <v/>
      </c>
      <c r="S35" s="932" t="str">
        <f>IF(VLOOKUP($C$3&amp;"-"&amp;$D35,Import!$C:$H,6,FALSE)=0,"",VLOOKUP($C$3&amp;"-"&amp;$D35,Import!$C:$H,6,FALSE))</f>
        <v/>
      </c>
      <c r="T35" s="295"/>
      <c r="U35" s="305"/>
    </row>
    <row r="36" spans="1:21" s="296" customFormat="1" ht="61.2" customHeight="1" x14ac:dyDescent="0.25">
      <c r="A36" s="305"/>
      <c r="B36" s="1199"/>
      <c r="C36" s="1193"/>
      <c r="D36" s="396" t="s">
        <v>18</v>
      </c>
      <c r="E36" s="420" t="str">
        <f>IF(VLOOKUP(CONCATENATE($C$3,"-",$D36),Languages!$A:$D,1,TRUE)=CONCATENATE($C$3,"-",$D36),VLOOKUP(CONCATENATE($C$3,"-",$D36),Languages!$A:$D,Summary!$C$7,TRUE),NA())</f>
        <v>Kaikki resurssit (data, prosessit, järjestelmät, tilat ja toimitusketjut), joita tarvitaan yhteiskunnallisesti kriittisten palvelujen tuottamiseen, ovat organisaation riskienhallinnan politiikkojen ja prosessien piirissä.</v>
      </c>
      <c r="F36" s="393">
        <f>IFERROR(INT(LEFT($G36,1)),0)</f>
        <v>0</v>
      </c>
      <c r="G36" s="449" t="s">
        <v>2542</v>
      </c>
      <c r="H36" s="441"/>
      <c r="I36" s="441"/>
      <c r="J36" s="441"/>
      <c r="K36" s="450"/>
      <c r="L36" s="295"/>
      <c r="M36" s="305"/>
      <c r="N36" s="1199"/>
      <c r="O36" s="957" t="str">
        <f>VLOOKUP(VLOOKUP($C$3&amp;"-"&amp;$D36,Import!$C:$D,2,FALSE),Parameters!$C$18:$F$22,Summary!$C$7,FALSE)</f>
        <v xml:space="preserve">0 - Vastaus puuttuu </v>
      </c>
      <c r="P36" s="933" t="str">
        <f>IF(VLOOKUP($C$3&amp;"-"&amp;$D36,Import!$C:$H,3,FALSE)=0,"",VLOOKUP($C$3&amp;"-"&amp;$D36,Import!$C:$H,3,FALSE))</f>
        <v/>
      </c>
      <c r="Q36" s="933" t="str">
        <f>IF(VLOOKUP($C$3&amp;"-"&amp;$D36,Import!$C:$H,4,FALSE)=0,"",VLOOKUP($C$3&amp;"-"&amp;$D36,Import!$C:$H,4,FALSE))</f>
        <v/>
      </c>
      <c r="R36" s="933" t="str">
        <f>IF(VLOOKUP($C$3&amp;"-"&amp;$D36,Import!$C:$H,5,FALSE)=0,"",VLOOKUP($C$3&amp;"-"&amp;$D36,Import!$C:$H,5,FALSE))</f>
        <v/>
      </c>
      <c r="S36" s="934" t="str">
        <f>IF(VLOOKUP($C$3&amp;"-"&amp;$D36,Import!$C:$H,6,FALSE)=0,"",VLOOKUP($C$3&amp;"-"&amp;$D36,Import!$C:$H,6,FALSE))</f>
        <v/>
      </c>
      <c r="T36" s="295"/>
      <c r="U36" s="305"/>
    </row>
    <row r="37" spans="1:21" s="296" customFormat="1" ht="75" customHeight="1" x14ac:dyDescent="0.25">
      <c r="A37" s="305"/>
      <c r="B37" s="1199"/>
      <c r="C37" s="1187">
        <v>2</v>
      </c>
      <c r="D37" s="395" t="s">
        <v>19</v>
      </c>
      <c r="E37" s="419" t="str">
        <f>IF(VLOOKUP(CONCATENATE($C$3,"-",$D37),Languages!$A:$D,1,TRUE)=CONCATENATE($C$3,"-",$D37),VLOOKUP(CONCATENATE($C$3,"-",$D37),Languages!$A:$D,Summary!$C$7,TRUE),NA())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37" s="386">
        <f t="shared" ref="F37:F43" si="1">IFERROR(INT(LEFT($G37,1)),0)</f>
        <v>0</v>
      </c>
      <c r="G37" s="445" t="s">
        <v>2542</v>
      </c>
      <c r="H37" s="446"/>
      <c r="I37" s="446"/>
      <c r="J37" s="446"/>
      <c r="K37" s="447"/>
      <c r="L37" s="295"/>
      <c r="M37" s="305"/>
      <c r="N37" s="1199"/>
      <c r="O37" s="955" t="str">
        <f>VLOOKUP(VLOOKUP($C$3&amp;"-"&amp;$D37,Import!$C:$D,2,FALSE),Parameters!$C$18:$F$22,Summary!$C$7,FALSE)</f>
        <v xml:space="preserve">0 - Vastaus puuttuu </v>
      </c>
      <c r="P37" s="931" t="str">
        <f>IF(VLOOKUP($C$3&amp;"-"&amp;$D37,Import!$C:$H,3,FALSE)=0,"",VLOOKUP($C$3&amp;"-"&amp;$D37,Import!$C:$H,3,FALSE))</f>
        <v/>
      </c>
      <c r="Q37" s="931" t="str">
        <f>IF(VLOOKUP($C$3&amp;"-"&amp;$D37,Import!$C:$H,4,FALSE)=0,"",VLOOKUP($C$3&amp;"-"&amp;$D37,Import!$C:$H,4,FALSE))</f>
        <v/>
      </c>
      <c r="R37" s="931" t="str">
        <f>IF(VLOOKUP($C$3&amp;"-"&amp;$D37,Import!$C:$H,5,FALSE)=0,"",VLOOKUP($C$3&amp;"-"&amp;$D37,Import!$C:$H,5,FALSE))</f>
        <v/>
      </c>
      <c r="S37" s="932" t="str">
        <f>IF(VLOOKUP($C$3&amp;"-"&amp;$D37,Import!$C:$H,6,FALSE)=0,"",VLOOKUP($C$3&amp;"-"&amp;$D37,Import!$C:$H,6,FALSE))</f>
        <v/>
      </c>
      <c r="T37" s="295"/>
      <c r="U37" s="305"/>
    </row>
    <row r="38" spans="1:21" s="296" customFormat="1" ht="75.599999999999994" customHeight="1" x14ac:dyDescent="0.25">
      <c r="A38" s="305"/>
      <c r="B38" s="1199"/>
      <c r="C38" s="1188"/>
      <c r="D38" s="294" t="s">
        <v>20</v>
      </c>
      <c r="E38" s="416" t="str">
        <f>IF(VLOOKUP(CONCATENATE($C$3,"-",$D38),Languages!$A:$D,1,TRUE)=CONCATENATE($C$3,"-",$D38),VLOOKUP(CONCATENATE($C$3,"-",$D38),Languages!$A:$D,Summary!$C$7,TRUE),NA())</f>
        <v>Johtoryhmä käsittelee palveluiden tuottamiseen tarvittavien tietoverkkojen ja -järjestelmien turvallisuuden tasoa säännöllisesti; käyttäen pohjana ajantasaista ja tarkkaa tietoa sekä organisaation ammattilaisten asiantuntemusta.</v>
      </c>
      <c r="F38" s="287">
        <f t="shared" si="1"/>
        <v>0</v>
      </c>
      <c r="G38" s="307" t="s">
        <v>2542</v>
      </c>
      <c r="H38" s="440"/>
      <c r="I38" s="440"/>
      <c r="J38" s="440"/>
      <c r="K38" s="448"/>
      <c r="L38" s="295"/>
      <c r="M38" s="305"/>
      <c r="N38" s="1199"/>
      <c r="O38" s="956" t="str">
        <f>VLOOKUP(VLOOKUP($C$3&amp;"-"&amp;$D38,Import!$C:$D,2,FALSE),Parameters!$C$18:$F$22,Summary!$C$7,FALSE)</f>
        <v xml:space="preserve">0 - Vastaus puuttuu </v>
      </c>
      <c r="P38" s="914" t="str">
        <f>IF(VLOOKUP($C$3&amp;"-"&amp;$D38,Import!$C:$H,3,FALSE)=0,"",VLOOKUP($C$3&amp;"-"&amp;$D38,Import!$C:$H,3,FALSE))</f>
        <v/>
      </c>
      <c r="Q38" s="914" t="str">
        <f>IF(VLOOKUP($C$3&amp;"-"&amp;$D38,Import!$C:$H,4,FALSE)=0,"",VLOOKUP($C$3&amp;"-"&amp;$D38,Import!$C:$H,4,FALSE))</f>
        <v/>
      </c>
      <c r="R38" s="914" t="str">
        <f>IF(VLOOKUP($C$3&amp;"-"&amp;$D38,Import!$C:$H,5,FALSE)=0,"",VLOOKUP($C$3&amp;"-"&amp;$D38,Import!$C:$H,5,FALSE))</f>
        <v/>
      </c>
      <c r="S38" s="915" t="str">
        <f>IF(VLOOKUP($C$3&amp;"-"&amp;$D38,Import!$C:$H,6,FALSE)=0,"",VLOOKUP($C$3&amp;"-"&amp;$D38,Import!$C:$H,6,FALSE))</f>
        <v/>
      </c>
      <c r="T38" s="295"/>
      <c r="U38" s="305"/>
    </row>
    <row r="39" spans="1:21" s="296" customFormat="1" ht="68.400000000000006" customHeight="1" x14ac:dyDescent="0.25">
      <c r="A39" s="305"/>
      <c r="B39" s="1199"/>
      <c r="C39" s="1188"/>
      <c r="D39" s="294" t="s">
        <v>21</v>
      </c>
      <c r="E39" s="416" t="str">
        <f>IF(VLOOKUP(CONCATENATE($C$3,"-",$D39),Languages!$A:$D,1,TRUE)=CONCATENATE($C$3,"-",$D39),VLOOKUP(CONCATENATE($C$3,"-",$D39),Languages!$A:$D,Summary!$C$7,TRUE),NA())</f>
        <v>Johtoryhmän nimetyllä jäsenellä on vastuu palveluiden tuottamiseen tarvittavien tietoverkkojen ja -järjestelmien turvallisuuden tasosta. Henkilö ohjaa johtoryhmän säännöllistä keskustelua aiheesta.</v>
      </c>
      <c r="F39" s="287">
        <f t="shared" si="1"/>
        <v>0</v>
      </c>
      <c r="G39" s="307" t="s">
        <v>2542</v>
      </c>
      <c r="H39" s="440"/>
      <c r="I39" s="440"/>
      <c r="J39" s="440"/>
      <c r="K39" s="448"/>
      <c r="L39" s="295"/>
      <c r="M39" s="305"/>
      <c r="N39" s="1199"/>
      <c r="O39" s="956" t="str">
        <f>VLOOKUP(VLOOKUP($C$3&amp;"-"&amp;$D39,Import!$C:$D,2,FALSE),Parameters!$C$18:$F$22,Summary!$C$7,FALSE)</f>
        <v xml:space="preserve">0 - Vastaus puuttuu </v>
      </c>
      <c r="P39" s="914" t="str">
        <f>IF(VLOOKUP($C$3&amp;"-"&amp;$D39,Import!$C:$H,3,FALSE)=0,"",VLOOKUP($C$3&amp;"-"&amp;$D39,Import!$C:$H,3,FALSE))</f>
        <v/>
      </c>
      <c r="Q39" s="914" t="str">
        <f>IF(VLOOKUP($C$3&amp;"-"&amp;$D39,Import!$C:$H,4,FALSE)=0,"",VLOOKUP($C$3&amp;"-"&amp;$D39,Import!$C:$H,4,FALSE))</f>
        <v/>
      </c>
      <c r="R39" s="914" t="str">
        <f>IF(VLOOKUP($C$3&amp;"-"&amp;$D39,Import!$C:$H,5,FALSE)=0,"",VLOOKUP($C$3&amp;"-"&amp;$D39,Import!$C:$H,5,FALSE))</f>
        <v/>
      </c>
      <c r="S39" s="915" t="str">
        <f>IF(VLOOKUP($C$3&amp;"-"&amp;$D39,Import!$C:$H,6,FALSE)=0,"",VLOOKUP($C$3&amp;"-"&amp;$D39,Import!$C:$H,6,FALSE))</f>
        <v/>
      </c>
      <c r="T39" s="295"/>
      <c r="U39" s="305"/>
    </row>
    <row r="40" spans="1:21" s="296" customFormat="1" ht="45" customHeight="1" x14ac:dyDescent="0.25">
      <c r="A40" s="305"/>
      <c r="B40" s="1199"/>
      <c r="C40" s="1188"/>
      <c r="D40" s="294" t="s">
        <v>103</v>
      </c>
      <c r="E40" s="416" t="str">
        <f>IF(VLOOKUP(CONCATENATE($C$3,"-",$D40),Languages!$A:$D,1,TRUE)=CONCATENATE($C$3,"-",$D40),VLOOKUP(CONCATENATE($C$3,"-",$D40),Languages!$A:$D,Summary!$C$7,TRUE),NA())</f>
        <v>Johtoryhmä asettaa suunnan ja tahtotilan, joista johdetaan tehokkaita toimintatapoja tietoverkkojen ja -järjestelmien turvallisuuden valvontaan ja ohjaukseen.</v>
      </c>
      <c r="F40" s="287">
        <f t="shared" si="1"/>
        <v>0</v>
      </c>
      <c r="G40" s="307" t="s">
        <v>2542</v>
      </c>
      <c r="H40" s="440"/>
      <c r="I40" s="440"/>
      <c r="J40" s="440"/>
      <c r="K40" s="448"/>
      <c r="L40" s="295"/>
      <c r="M40" s="305"/>
      <c r="N40" s="1199"/>
      <c r="O40" s="956" t="str">
        <f>VLOOKUP(VLOOKUP($C$3&amp;"-"&amp;$D40,Import!$C:$D,2,FALSE),Parameters!$C$18:$F$22,Summary!$C$7,FALSE)</f>
        <v xml:space="preserve">0 - Vastaus puuttuu </v>
      </c>
      <c r="P40" s="914" t="str">
        <f>IF(VLOOKUP($C$3&amp;"-"&amp;$D40,Import!$C:$H,3,FALSE)=0,"",VLOOKUP($C$3&amp;"-"&amp;$D40,Import!$C:$H,3,FALSE))</f>
        <v/>
      </c>
      <c r="Q40" s="914" t="str">
        <f>IF(VLOOKUP($C$3&amp;"-"&amp;$D40,Import!$C:$H,4,FALSE)=0,"",VLOOKUP($C$3&amp;"-"&amp;$D40,Import!$C:$H,4,FALSE))</f>
        <v/>
      </c>
      <c r="R40" s="914" t="str">
        <f>IF(VLOOKUP($C$3&amp;"-"&amp;$D40,Import!$C:$H,5,FALSE)=0,"",VLOOKUP($C$3&amp;"-"&amp;$D40,Import!$C:$H,5,FALSE))</f>
        <v/>
      </c>
      <c r="S40" s="915" t="str">
        <f>IF(VLOOKUP($C$3&amp;"-"&amp;$D40,Import!$C:$H,6,FALSE)=0,"",VLOOKUP($C$3&amp;"-"&amp;$D40,Import!$C:$H,6,FALSE))</f>
        <v/>
      </c>
      <c r="T40" s="295"/>
      <c r="U40" s="305"/>
    </row>
    <row r="41" spans="1:21" s="296" customFormat="1" ht="34.950000000000003" customHeight="1" x14ac:dyDescent="0.25">
      <c r="A41" s="305"/>
      <c r="B41" s="1199"/>
      <c r="C41" s="1188"/>
      <c r="D41" s="294" t="s">
        <v>165</v>
      </c>
      <c r="E41" s="416" t="str">
        <f>IF(VLOOKUP(CONCATENATE($C$3,"-",$D41),Languages!$A:$D,1,TRUE)=CONCATENATE($C$3,"-",$D41),VLOOKUP(CONCATENATE($C$3,"-",$D41),Languages!$A:$D,Summary!$C$7,TRUE),NA())</f>
        <v>Organisaation ylimmällä johdolla on näkyvyys tärkeimpiin riskipäätöksiin läpi koko organisaation.</v>
      </c>
      <c r="F41" s="287">
        <f t="shared" si="1"/>
        <v>0</v>
      </c>
      <c r="G41" s="307" t="s">
        <v>2542</v>
      </c>
      <c r="H41" s="440"/>
      <c r="I41" s="440"/>
      <c r="J41" s="440"/>
      <c r="K41" s="448"/>
      <c r="L41" s="295"/>
      <c r="M41" s="305"/>
      <c r="N41" s="1199"/>
      <c r="O41" s="956" t="str">
        <f>VLOOKUP(VLOOKUP($C$3&amp;"-"&amp;$D41,Import!$C:$D,2,FALSE),Parameters!$C$18:$F$22,Summary!$C$7,FALSE)</f>
        <v xml:space="preserve">0 - Vastaus puuttuu </v>
      </c>
      <c r="P41" s="914" t="str">
        <f>IF(VLOOKUP($C$3&amp;"-"&amp;$D41,Import!$C:$H,3,FALSE)=0,"",VLOOKUP($C$3&amp;"-"&amp;$D41,Import!$C:$H,3,FALSE))</f>
        <v/>
      </c>
      <c r="Q41" s="914" t="str">
        <f>IF(VLOOKUP($C$3&amp;"-"&amp;$D41,Import!$C:$H,4,FALSE)=0,"",VLOOKUP($C$3&amp;"-"&amp;$D41,Import!$C:$H,4,FALSE))</f>
        <v/>
      </c>
      <c r="R41" s="914" t="str">
        <f>IF(VLOOKUP($C$3&amp;"-"&amp;$D41,Import!$C:$H,5,FALSE)=0,"",VLOOKUP($C$3&amp;"-"&amp;$D41,Import!$C:$H,5,FALSE))</f>
        <v/>
      </c>
      <c r="S41" s="915" t="str">
        <f>IF(VLOOKUP($C$3&amp;"-"&amp;$D41,Import!$C:$H,6,FALSE)=0,"",VLOOKUP($C$3&amp;"-"&amp;$D41,Import!$C:$H,6,FALSE))</f>
        <v/>
      </c>
      <c r="T41" s="295"/>
      <c r="U41" s="305"/>
    </row>
    <row r="42" spans="1:21" s="296" customFormat="1" ht="85.2" customHeight="1" x14ac:dyDescent="0.25">
      <c r="A42" s="305"/>
      <c r="B42" s="1199"/>
      <c r="C42" s="1188"/>
      <c r="D42" s="294" t="s">
        <v>167</v>
      </c>
      <c r="E42" s="416" t="str">
        <f>IF(VLOOKUP(CONCATENATE($C$3,"-",$D42),Languages!$A:$D,1,TRUE)=CONCATENATE($C$3,"-",$D42),VLOOKUP(CONCATENATE($C$3,"-",$D42),Languages!$A:$D,Summary!$C$7,TRUE),NA())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42" s="287">
        <f t="shared" si="1"/>
        <v>0</v>
      </c>
      <c r="G42" s="307" t="s">
        <v>2542</v>
      </c>
      <c r="H42" s="440"/>
      <c r="I42" s="440"/>
      <c r="J42" s="440"/>
      <c r="K42" s="448"/>
      <c r="L42" s="295"/>
      <c r="M42" s="305"/>
      <c r="N42" s="1199"/>
      <c r="O42" s="956" t="str">
        <f>VLOOKUP(VLOOKUP($C$3&amp;"-"&amp;$D42,Import!$C:$D,2,FALSE),Parameters!$C$18:$F$22,Summary!$C$7,FALSE)</f>
        <v xml:space="preserve">0 - Vastaus puuttuu </v>
      </c>
      <c r="P42" s="914" t="str">
        <f>IF(VLOOKUP($C$3&amp;"-"&amp;$D42,Import!$C:$H,3,FALSE)=0,"",VLOOKUP($C$3&amp;"-"&amp;$D42,Import!$C:$H,3,FALSE))</f>
        <v/>
      </c>
      <c r="Q42" s="914" t="str">
        <f>IF(VLOOKUP($C$3&amp;"-"&amp;$D42,Import!$C:$H,4,FALSE)=0,"",VLOOKUP($C$3&amp;"-"&amp;$D42,Import!$C:$H,4,FALSE))</f>
        <v/>
      </c>
      <c r="R42" s="914" t="str">
        <f>IF(VLOOKUP($C$3&amp;"-"&amp;$D42,Import!$C:$H,5,FALSE)=0,"",VLOOKUP($C$3&amp;"-"&amp;$D42,Import!$C:$H,5,FALSE))</f>
        <v/>
      </c>
      <c r="S42" s="915" t="str">
        <f>IF(VLOOKUP($C$3&amp;"-"&amp;$D42,Import!$C:$H,6,FALSE)=0,"",VLOOKUP($C$3&amp;"-"&amp;$D42,Import!$C:$H,6,FALSE))</f>
        <v/>
      </c>
      <c r="T42" s="295"/>
      <c r="U42" s="305"/>
    </row>
    <row r="43" spans="1:21" s="296" customFormat="1" ht="60.6" customHeight="1" x14ac:dyDescent="0.25">
      <c r="A43" s="305"/>
      <c r="B43" s="1199"/>
      <c r="C43" s="1189"/>
      <c r="D43" s="396" t="s">
        <v>198</v>
      </c>
      <c r="E43" s="420" t="str">
        <f>IF(VLOOKUP(CONCATENATE($C$3,"-",$D43),Languages!$A:$D,1,TRUE)=CONCATENATE($C$3,"-",$D43),VLOOKUP(CONCATENATE($C$3,"-",$D43),Languages!$A:$D,Summary!$C$7,TRUE),NA())</f>
        <v>Riskienhallinnan päätöksentekoa voidaan tarvittaessa delegoida tai korottaa ("escalate") läpi koko organisaation sellaisille henkilöille, joilla on sopivat tiedot, taidot ja valtuudet päätösten tekemiseen.</v>
      </c>
      <c r="F43" s="393">
        <f t="shared" si="1"/>
        <v>0</v>
      </c>
      <c r="G43" s="449" t="s">
        <v>2542</v>
      </c>
      <c r="H43" s="441"/>
      <c r="I43" s="441"/>
      <c r="J43" s="441"/>
      <c r="K43" s="450"/>
      <c r="L43" s="295"/>
      <c r="M43" s="305"/>
      <c r="N43" s="1199"/>
      <c r="O43" s="957" t="str">
        <f>VLOOKUP(VLOOKUP($C$3&amp;"-"&amp;$D43,Import!$C:$D,2,FALSE),Parameters!$C$18:$F$22,Summary!$C$7,FALSE)</f>
        <v xml:space="preserve">0 - Vastaus puuttuu </v>
      </c>
      <c r="P43" s="933" t="str">
        <f>IF(VLOOKUP($C$3&amp;"-"&amp;$D43,Import!$C:$H,3,FALSE)=0,"",VLOOKUP($C$3&amp;"-"&amp;$D43,Import!$C:$H,3,FALSE))</f>
        <v/>
      </c>
      <c r="Q43" s="933" t="str">
        <f>IF(VLOOKUP($C$3&amp;"-"&amp;$D43,Import!$C:$H,4,FALSE)=0,"",VLOOKUP($C$3&amp;"-"&amp;$D43,Import!$C:$H,4,FALSE))</f>
        <v/>
      </c>
      <c r="R43" s="933" t="str">
        <f>IF(VLOOKUP($C$3&amp;"-"&amp;$D43,Import!$C:$H,5,FALSE)=0,"",VLOOKUP($C$3&amp;"-"&amp;$D43,Import!$C:$H,5,FALSE))</f>
        <v/>
      </c>
      <c r="S43" s="934" t="str">
        <f>IF(VLOOKUP($C$3&amp;"-"&amp;$D43,Import!$C:$H,6,FALSE)=0,"",VLOOKUP($C$3&amp;"-"&amp;$D43,Import!$C:$H,6,FALSE))</f>
        <v/>
      </c>
      <c r="T43" s="295"/>
      <c r="U43" s="305"/>
    </row>
    <row r="44" spans="1:21" s="296" customFormat="1" ht="51" customHeight="1" x14ac:dyDescent="0.25">
      <c r="A44" s="305"/>
      <c r="B44" s="1199"/>
      <c r="C44" s="1200">
        <v>3</v>
      </c>
      <c r="D44" s="395" t="s">
        <v>200</v>
      </c>
      <c r="E44" s="419" t="str">
        <f>IF(VLOOKUP(CONCATENATE($C$3,"-",$D44),Languages!$A:$D,1,TRUE)=CONCATENATE($C$3,"-",$D44),VLOOKUP(CONCATENATE($C$3,"-",$D44),Languages!$A:$D,Summary!$C$7,TRUE),NA())</f>
        <v>Tehdyt riskienhallintapäätökset käydään läpi aika ajoin, jotta varmistutaan siitä, että ne ovat pysyneet relevantteina ja pätevinä.</v>
      </c>
      <c r="F44" s="386">
        <f>IFERROR(INT(LEFT($G44,1)),0)</f>
        <v>0</v>
      </c>
      <c r="G44" s="445" t="s">
        <v>2542</v>
      </c>
      <c r="H44" s="442"/>
      <c r="I44" s="442"/>
      <c r="J44" s="442"/>
      <c r="K44" s="451"/>
      <c r="L44" s="295"/>
      <c r="M44" s="305"/>
      <c r="N44" s="1199"/>
      <c r="O44" s="955" t="str">
        <f>VLOOKUP(VLOOKUP($C$3&amp;"-"&amp;$D44,Import!$C:$D,2,FALSE),Parameters!$C$18:$F$22,Summary!$C$7,FALSE)</f>
        <v xml:space="preserve">0 - Vastaus puuttuu </v>
      </c>
      <c r="P44" s="921" t="str">
        <f>IF(VLOOKUP($C$3&amp;"-"&amp;$D44,Import!$C:$H,3,FALSE)=0,"",VLOOKUP($C$3&amp;"-"&amp;$D44,Import!$C:$H,3,FALSE))</f>
        <v/>
      </c>
      <c r="Q44" s="921" t="str">
        <f>IF(VLOOKUP($C$3&amp;"-"&amp;$D44,Import!$C:$H,4,FALSE)=0,"",VLOOKUP($C$3&amp;"-"&amp;$D44,Import!$C:$H,4,FALSE))</f>
        <v/>
      </c>
      <c r="R44" s="921" t="str">
        <f>IF(VLOOKUP($C$3&amp;"-"&amp;$D44,Import!$C:$H,5,FALSE)=0,"",VLOOKUP($C$3&amp;"-"&amp;$D44,Import!$C:$H,5,FALSE))</f>
        <v/>
      </c>
      <c r="S44" s="922" t="str">
        <f>IF(VLOOKUP($C$3&amp;"-"&amp;$D44,Import!$C:$H,6,FALSE)=0,"",VLOOKUP($C$3&amp;"-"&amp;$D44,Import!$C:$H,6,FALSE))</f>
        <v/>
      </c>
      <c r="T44" s="295"/>
      <c r="U44" s="305"/>
    </row>
    <row r="45" spans="1:21" s="296" customFormat="1" ht="45" customHeight="1" x14ac:dyDescent="0.25">
      <c r="A45" s="305"/>
      <c r="B45" s="1199"/>
      <c r="C45" s="1201"/>
      <c r="D45" s="396" t="s">
        <v>202</v>
      </c>
      <c r="E45" s="420" t="str">
        <f>IF(VLOOKUP(CONCATENATE($C$3,"-",$D45),Languages!$A:$D,1,TRUE)=CONCATENATE($C$3,"-",$D45),VLOOKUP(CONCATENATE($C$3,"-",$D45),Languages!$A:$D,Summary!$C$7,TRUE),NA())</f>
        <v>Riskienhallintaprosessissa ja -päätöksenteossa otetaan huomioon resurssit (data, prosessit, järjestelmät, laitteet ja toimitusketju), kriittinen ajanjakso ja seurannaisvaikutukset [kts. CRITICAL-1b-h].</v>
      </c>
      <c r="F45" s="393">
        <f>IFERROR(INT(LEFT($G45,1)),0)</f>
        <v>0</v>
      </c>
      <c r="G45" s="449" t="s">
        <v>2542</v>
      </c>
      <c r="H45" s="441"/>
      <c r="I45" s="441"/>
      <c r="J45" s="441"/>
      <c r="K45" s="450"/>
      <c r="L45" s="295"/>
      <c r="M45" s="305"/>
      <c r="N45" s="1199"/>
      <c r="O45" s="957" t="str">
        <f>VLOOKUP(VLOOKUP($C$3&amp;"-"&amp;$D45,Import!$C:$D,2,FALSE),Parameters!$C$18:$F$22,Summary!$C$7,FALSE)</f>
        <v xml:space="preserve">0 - Vastaus puuttuu </v>
      </c>
      <c r="P45" s="933" t="str">
        <f>IF(VLOOKUP($C$3&amp;"-"&amp;$D45,Import!$C:$H,3,FALSE)=0,"",VLOOKUP($C$3&amp;"-"&amp;$D45,Import!$C:$H,3,FALSE))</f>
        <v/>
      </c>
      <c r="Q45" s="933" t="str">
        <f>IF(VLOOKUP($C$3&amp;"-"&amp;$D45,Import!$C:$H,4,FALSE)=0,"",VLOOKUP($C$3&amp;"-"&amp;$D45,Import!$C:$H,4,FALSE))</f>
        <v/>
      </c>
      <c r="R45" s="933" t="str">
        <f>IF(VLOOKUP($C$3&amp;"-"&amp;$D45,Import!$C:$H,5,FALSE)=0,"",VLOOKUP($C$3&amp;"-"&amp;$D45,Import!$C:$H,5,FALSE))</f>
        <v/>
      </c>
      <c r="S45" s="934" t="str">
        <f>IF(VLOOKUP($C$3&amp;"-"&amp;$D45,Import!$C:$H,6,FALSE)=0,"",VLOOKUP($C$3&amp;"-"&amp;$D45,Import!$C:$H,6,FALSE))</f>
        <v/>
      </c>
      <c r="T45" s="295"/>
      <c r="U45" s="305"/>
    </row>
    <row r="46" spans="1:21" ht="12.6" x14ac:dyDescent="0.25">
      <c r="A46" s="654"/>
      <c r="G46" s="959"/>
      <c r="H46" s="960"/>
      <c r="I46" s="960"/>
      <c r="J46" s="960"/>
      <c r="K46" s="960"/>
      <c r="M46" s="658"/>
      <c r="T46" s="291"/>
      <c r="U46" s="305"/>
    </row>
    <row r="47" spans="1:21" ht="16.2" x14ac:dyDescent="0.3">
      <c r="A47" s="654"/>
      <c r="C47" s="270">
        <v>3</v>
      </c>
      <c r="D47" s="270" t="str">
        <f>IF(VLOOKUP(CONCATENATE($C$3,"-",C47),Languages!$A:$D,1,TRUE)=CONCATENATE($C$3,"-",C47),VLOOKUP(CONCATENATE($C$3,"-",C47),Languages!$A:$D,Summary!$C$7,TRUE),NA())</f>
        <v>Kriittisten palveluiden kyberhäiriöiden vaikutusten minimointi</v>
      </c>
      <c r="E47" s="170"/>
      <c r="G47" s="959"/>
      <c r="H47" s="960"/>
      <c r="I47" s="960"/>
      <c r="J47" s="960"/>
      <c r="K47" s="960"/>
      <c r="M47" s="658"/>
      <c r="T47" s="291"/>
      <c r="U47" s="305"/>
    </row>
    <row r="48" spans="1:21" s="285" customFormat="1" ht="19.95" customHeight="1" x14ac:dyDescent="0.2">
      <c r="A48" s="304"/>
      <c r="B48" s="279"/>
      <c r="C48" s="280" t="str">
        <f>IF(VLOOKUP("GEN-LEVEL",Languages!$A:$D,1,TRUE)="GEN-LEVEL",VLOOKUP("GEN-LEVEL",Languages!$A:$D,Summary!$C$7,TRUE),NA())</f>
        <v>Taso</v>
      </c>
      <c r="D48" s="280"/>
      <c r="E48" s="281" t="str">
        <f>IF(VLOOKUP("GEN-PRACTICE",Languages!$A:$D,1,TRUE)="GEN-PRACTICE",VLOOKUP("GEN-PRACTICE",Languages!$A:$D,Summary!$C$7,TRUE),NA())</f>
        <v>Käytäntö</v>
      </c>
      <c r="F48" s="282"/>
      <c r="G48" s="904" t="str">
        <f>IF(VLOOKUP("GEN-ANSWER",Languages!$A:$D,1,TRUE)="GEN-ANSWER",VLOOKUP("GEN-ANSWER",Languages!$A:$D,Summary!$C$7,TRUE),NA())</f>
        <v>Vastaus</v>
      </c>
      <c r="H48" s="905" t="str">
        <f>IF(VLOOKUP("KM112",Languages!$A:$D,1,TRUE)="KM112",VLOOKUP("KM112",Languages!$A:$D,Summary!$C$7,TRUE),NA())</f>
        <v>Kommentit</v>
      </c>
      <c r="I48" s="905" t="str">
        <f>IF(VLOOKUP("KM113",Languages!$A:$D,1,TRUE)="KM113",VLOOKUP("KM113",Languages!$A:$D,Summary!$C$7,TRUE),NA())</f>
        <v>Sisäinen viittaus</v>
      </c>
      <c r="J48" s="905" t="str">
        <f>IF(VLOOKUP("KM114",Languages!$A:$D,1,TRUE)="KM114",VLOOKUP("KM114",Languages!$A:$D,Summary!$C$7,TRUE),NA())</f>
        <v>Ulkoinen viittaus</v>
      </c>
      <c r="K48" s="905" t="str">
        <f>IF(VLOOKUP("KM115",Languages!$A:$D,1,TRUE)="KM115",VLOOKUP("KM115",Languages!$A:$D,Summary!$C$7,TRUE),NA())</f>
        <v>Kehityskohde</v>
      </c>
      <c r="L48" s="283"/>
      <c r="M48" s="284"/>
      <c r="N48" s="279"/>
      <c r="O48" s="463" t="str">
        <f>IF(VLOOKUP("GEN-ANSWER",Languages!$A:$D,1,TRUE)="GEN-ANSWER",VLOOKUP("GEN-ANSWER",Languages!$A:$D,Summary!$C$7,TRUE),NA())</f>
        <v>Vastaus</v>
      </c>
      <c r="P48" s="282" t="str">
        <f>IF(VLOOKUP("KM112",Languages!$A:$D,1,TRUE)="KM112",VLOOKUP("KM112",Languages!$A:$D,Summary!$C$7,TRUE),NA())</f>
        <v>Kommentit</v>
      </c>
      <c r="Q48" s="282" t="str">
        <f>IF(VLOOKUP("KM113",Languages!$A:$D,1,TRUE)="KM113",VLOOKUP("KM113",Languages!$A:$D,Summary!$C$7,TRUE),NA())</f>
        <v>Sisäinen viittaus</v>
      </c>
      <c r="R48" s="282" t="str">
        <f>IF(VLOOKUP("KM114",Languages!$A:$D,1,TRUE)="KM114",VLOOKUP("KM114",Languages!$A:$D,Summary!$C$7,TRUE),NA())</f>
        <v>Ulkoinen viittaus</v>
      </c>
      <c r="S48" s="282" t="str">
        <f>IF(VLOOKUP("KM115",Languages!$A:$D,1,TRUE)="KM115",VLOOKUP("KM115",Languages!$A:$D,Summary!$C$7,TRUE),NA())</f>
        <v>Kehityskohde</v>
      </c>
      <c r="T48" s="283"/>
      <c r="U48" s="284"/>
    </row>
    <row r="49" spans="1:21" s="296" customFormat="1" ht="45" customHeight="1" x14ac:dyDescent="0.25">
      <c r="A49" s="305"/>
      <c r="B49" s="1199"/>
      <c r="C49" s="1191">
        <v>1</v>
      </c>
      <c r="D49" s="395" t="s">
        <v>22</v>
      </c>
      <c r="E49" s="419" t="str">
        <f>IF(VLOOKUP(CONCATENATE($C$3,"-",$D49),Languages!$A:$D,1,TRUE)=CONCATENATE($C$3,"-",$D49),VLOOKUP(CONCATENATE($C$3,"-",$D49),Languages!$A:$D,Summary!$C$7,TRUE),NA())</f>
        <v>Organisaatiolla on kybertapahtumien ja -häiriöiden hallintasuunnitelma, joka kattaa kaikki (organisaation tuottamat yhteiskunnalle kriittiset) palvelut.</v>
      </c>
      <c r="F49" s="386">
        <f t="shared" ref="F49:F56" si="2">IFERROR(INT(LEFT($G49,1)),0)</f>
        <v>0</v>
      </c>
      <c r="G49" s="445" t="s">
        <v>2542</v>
      </c>
      <c r="H49" s="446"/>
      <c r="I49" s="446"/>
      <c r="J49" s="446"/>
      <c r="K49" s="447"/>
      <c r="L49" s="295"/>
      <c r="M49" s="305"/>
      <c r="N49" s="1199"/>
      <c r="O49" s="955" t="str">
        <f>VLOOKUP(VLOOKUP($C$3&amp;"-"&amp;$D49,Import!$C:$D,2,FALSE),Parameters!$C$18:$F$22,Summary!$C$7,FALSE)</f>
        <v xml:space="preserve">0 - Vastaus puuttuu </v>
      </c>
      <c r="P49" s="931" t="str">
        <f>IF(VLOOKUP($C$3&amp;"-"&amp;$D49,Import!$C:$H,3,FALSE)=0,"",VLOOKUP($C$3&amp;"-"&amp;$D49,Import!$C:$H,3,FALSE))</f>
        <v/>
      </c>
      <c r="Q49" s="931" t="str">
        <f>IF(VLOOKUP($C$3&amp;"-"&amp;$D49,Import!$C:$H,4,FALSE)=0,"",VLOOKUP($C$3&amp;"-"&amp;$D49,Import!$C:$H,4,FALSE))</f>
        <v/>
      </c>
      <c r="R49" s="931" t="str">
        <f>IF(VLOOKUP($C$3&amp;"-"&amp;$D49,Import!$C:$H,5,FALSE)=0,"",VLOOKUP($C$3&amp;"-"&amp;$D49,Import!$C:$H,5,FALSE))</f>
        <v/>
      </c>
      <c r="S49" s="932" t="str">
        <f>IF(VLOOKUP($C$3&amp;"-"&amp;$D49,Import!$C:$H,6,FALSE)=0,"",VLOOKUP($C$3&amp;"-"&amp;$D49,Import!$C:$H,6,FALSE))</f>
        <v/>
      </c>
      <c r="T49" s="295"/>
      <c r="U49" s="305"/>
    </row>
    <row r="50" spans="1:21" s="296" customFormat="1" ht="51" customHeight="1" x14ac:dyDescent="0.25">
      <c r="A50" s="305"/>
      <c r="B50" s="1199"/>
      <c r="C50" s="1192"/>
      <c r="D50" s="294" t="s">
        <v>23</v>
      </c>
      <c r="E50" s="416" t="str">
        <f>IF(VLOOKUP(CONCATENATE($C$3,"-",$D50),Languages!$A:$D,1,TRUE)=CONCATENATE($C$3,"-",$D50),VLOOKUP(CONCATENATE($C$3,"-",$D50),Languages!$A:$D,Summary!$C$7,TRUE),NA())</f>
        <v>Hallintasuunnitelma rajoittuu tunnettuihin hyökkäyksiin, mutta kattaa perusteellisesti näiden hyökkäysten todennäköiset vaikutukset.</v>
      </c>
      <c r="F50" s="287">
        <f t="shared" si="2"/>
        <v>0</v>
      </c>
      <c r="G50" s="307" t="s">
        <v>2542</v>
      </c>
      <c r="H50" s="440"/>
      <c r="I50" s="440"/>
      <c r="J50" s="440"/>
      <c r="K50" s="448"/>
      <c r="L50" s="295"/>
      <c r="M50" s="305"/>
      <c r="N50" s="1199"/>
      <c r="O50" s="956" t="str">
        <f>VLOOKUP(VLOOKUP($C$3&amp;"-"&amp;$D50,Import!$C:$D,2,FALSE),Parameters!$C$18:$F$22,Summary!$C$7,FALSE)</f>
        <v xml:space="preserve">0 - Vastaus puuttuu </v>
      </c>
      <c r="P50" s="914" t="str">
        <f>IF(VLOOKUP($C$3&amp;"-"&amp;$D50,Import!$C:$H,3,FALSE)=0,"",VLOOKUP($C$3&amp;"-"&amp;$D50,Import!$C:$H,3,FALSE))</f>
        <v/>
      </c>
      <c r="Q50" s="914" t="str">
        <f>IF(VLOOKUP($C$3&amp;"-"&amp;$D50,Import!$C:$H,4,FALSE)=0,"",VLOOKUP($C$3&amp;"-"&amp;$D50,Import!$C:$H,4,FALSE))</f>
        <v/>
      </c>
      <c r="R50" s="914" t="str">
        <f>IF(VLOOKUP($C$3&amp;"-"&amp;$D50,Import!$C:$H,5,FALSE)=0,"",VLOOKUP($C$3&amp;"-"&amp;$D50,Import!$C:$H,5,FALSE))</f>
        <v/>
      </c>
      <c r="S50" s="915" t="str">
        <f>IF(VLOOKUP($C$3&amp;"-"&amp;$D50,Import!$C:$H,6,FALSE)=0,"",VLOOKUP($C$3&amp;"-"&amp;$D50,Import!$C:$H,6,FALSE))</f>
        <v/>
      </c>
      <c r="T50" s="295"/>
      <c r="U50" s="305"/>
    </row>
    <row r="51" spans="1:21" s="296" customFormat="1" ht="34.950000000000003" customHeight="1" x14ac:dyDescent="0.25">
      <c r="A51" s="305"/>
      <c r="B51" s="1199"/>
      <c r="C51" s="1192"/>
      <c r="D51" s="294" t="s">
        <v>24</v>
      </c>
      <c r="E51" s="416" t="str">
        <f>IF(VLOOKUP(CONCATENATE($C$3,"-",$D51),Languages!$A:$D,1,TRUE)=CONCATENATE($C$3,"-",$D51),VLOOKUP(CONCATENATE($C$3,"-",$D51),Languages!$A:$D,Summary!$C$7,TRUE),NA())</f>
        <v>Kybertapahtumien ja -häiriöiden hallintaan osallistuva henkilöstö on sisäistänyt ja ymmärtää hallintasuunnitelman hyvin.</v>
      </c>
      <c r="F51" s="287">
        <f t="shared" si="2"/>
        <v>0</v>
      </c>
      <c r="G51" s="307" t="s">
        <v>2542</v>
      </c>
      <c r="H51" s="440"/>
      <c r="I51" s="440"/>
      <c r="J51" s="440"/>
      <c r="K51" s="448"/>
      <c r="L51" s="295"/>
      <c r="M51" s="305"/>
      <c r="N51" s="1199"/>
      <c r="O51" s="956" t="str">
        <f>VLOOKUP(VLOOKUP($C$3&amp;"-"&amp;$D51,Import!$C:$D,2,FALSE),Parameters!$C$18:$F$22,Summary!$C$7,FALSE)</f>
        <v xml:space="preserve">0 - Vastaus puuttuu </v>
      </c>
      <c r="P51" s="914" t="str">
        <f>IF(VLOOKUP($C$3&amp;"-"&amp;$D51,Import!$C:$H,3,FALSE)=0,"",VLOOKUP($C$3&amp;"-"&amp;$D51,Import!$C:$H,3,FALSE))</f>
        <v/>
      </c>
      <c r="Q51" s="914" t="str">
        <f>IF(VLOOKUP($C$3&amp;"-"&amp;$D51,Import!$C:$H,4,FALSE)=0,"",VLOOKUP($C$3&amp;"-"&amp;$D51,Import!$C:$H,4,FALSE))</f>
        <v/>
      </c>
      <c r="R51" s="914" t="str">
        <f>IF(VLOOKUP($C$3&amp;"-"&amp;$D51,Import!$C:$H,5,FALSE)=0,"",VLOOKUP($C$3&amp;"-"&amp;$D51,Import!$C:$H,5,FALSE))</f>
        <v/>
      </c>
      <c r="S51" s="915" t="str">
        <f>IF(VLOOKUP($C$3&amp;"-"&amp;$D51,Import!$C:$H,6,FALSE)=0,"",VLOOKUP($C$3&amp;"-"&amp;$D51,Import!$C:$H,6,FALSE))</f>
        <v/>
      </c>
      <c r="T51" s="295"/>
      <c r="U51" s="305"/>
    </row>
    <row r="52" spans="1:21" s="296" customFormat="1" ht="34.950000000000003" customHeight="1" x14ac:dyDescent="0.25">
      <c r="A52" s="305"/>
      <c r="B52" s="1199"/>
      <c r="C52" s="1193"/>
      <c r="D52" s="396" t="s">
        <v>25</v>
      </c>
      <c r="E52" s="420" t="str">
        <f>IF(VLOOKUP(CONCATENATE($C$3,"-",$D52),Languages!$A:$D,1,TRUE)=CONCATENATE($C$3,"-",$D52),VLOOKUP(CONCATENATE($C$3,"-",$D52),Languages!$A:$D,Summary!$C$7,TRUE),NA())</f>
        <v>Hallintasuunnitelma on dokumentoitu ja se jaetaan kaikille relevanteille sidosryhmille.</v>
      </c>
      <c r="F52" s="393">
        <f t="shared" si="2"/>
        <v>0</v>
      </c>
      <c r="G52" s="449" t="s">
        <v>2542</v>
      </c>
      <c r="H52" s="441"/>
      <c r="I52" s="441"/>
      <c r="J52" s="441"/>
      <c r="K52" s="450"/>
      <c r="L52" s="295"/>
      <c r="M52" s="305"/>
      <c r="N52" s="1199"/>
      <c r="O52" s="957" t="str">
        <f>VLOOKUP(VLOOKUP($C$3&amp;"-"&amp;$D52,Import!$C:$D,2,FALSE),Parameters!$C$18:$F$22,Summary!$C$7,FALSE)</f>
        <v xml:space="preserve">0 - Vastaus puuttuu </v>
      </c>
      <c r="P52" s="933" t="str">
        <f>IF(VLOOKUP($C$3&amp;"-"&amp;$D52,Import!$C:$H,3,FALSE)=0,"",VLOOKUP($C$3&amp;"-"&amp;$D52,Import!$C:$H,3,FALSE))</f>
        <v/>
      </c>
      <c r="Q52" s="933" t="str">
        <f>IF(VLOOKUP($C$3&amp;"-"&amp;$D52,Import!$C:$H,4,FALSE)=0,"",VLOOKUP($C$3&amp;"-"&amp;$D52,Import!$C:$H,4,FALSE))</f>
        <v/>
      </c>
      <c r="R52" s="933" t="str">
        <f>IF(VLOOKUP($C$3&amp;"-"&amp;$D52,Import!$C:$H,5,FALSE)=0,"",VLOOKUP($C$3&amp;"-"&amp;$D52,Import!$C:$H,5,FALSE))</f>
        <v/>
      </c>
      <c r="S52" s="934" t="str">
        <f>IF(VLOOKUP($C$3&amp;"-"&amp;$D52,Import!$C:$H,6,FALSE)=0,"",VLOOKUP($C$3&amp;"-"&amp;$D52,Import!$C:$H,6,FALSE))</f>
        <v/>
      </c>
      <c r="T52" s="295"/>
      <c r="U52" s="305"/>
    </row>
    <row r="53" spans="1:21" s="296" customFormat="1" ht="63" customHeight="1" x14ac:dyDescent="0.25">
      <c r="A53" s="305"/>
      <c r="B53" s="1199"/>
      <c r="C53" s="1187">
        <v>2</v>
      </c>
      <c r="D53" s="395" t="s">
        <v>26</v>
      </c>
      <c r="E53" s="419" t="str">
        <f>IF(VLOOKUP(CONCATENATE($C$3,"-",$D53),Languages!$A:$D,1,TRUE)=CONCATENATE($C$3,"-",$D53),VLOOKUP(CONCATENATE($C$3,"-",$D53),Languages!$A:$D,Summary!$C$7,TRUE),NA())</f>
        <v>Hallintasuunnitelma perustuu (yhteiskunnalle kriittisten palveluiden tuottamiseen tarvittavien) tietoverkkojen ja -järjestelmien riskien perusteelliseen tunnistamiseen ja ymmärtämiseen.</v>
      </c>
      <c r="F53" s="386">
        <f t="shared" si="2"/>
        <v>0</v>
      </c>
      <c r="G53" s="445" t="s">
        <v>2542</v>
      </c>
      <c r="H53" s="446"/>
      <c r="I53" s="446"/>
      <c r="J53" s="446"/>
      <c r="K53" s="447"/>
      <c r="L53" s="295"/>
      <c r="M53" s="305"/>
      <c r="N53" s="1199"/>
      <c r="O53" s="955" t="str">
        <f>VLOOKUP(VLOOKUP($C$3&amp;"-"&amp;$D53,Import!$C:$D,2,FALSE),Parameters!$C$18:$F$22,Summary!$C$7,FALSE)</f>
        <v xml:space="preserve">0 - Vastaus puuttuu </v>
      </c>
      <c r="P53" s="931" t="str">
        <f>IF(VLOOKUP($C$3&amp;"-"&amp;$D53,Import!$C:$H,3,FALSE)=0,"",VLOOKUP($C$3&amp;"-"&amp;$D53,Import!$C:$H,3,FALSE))</f>
        <v/>
      </c>
      <c r="Q53" s="931" t="str">
        <f>IF(VLOOKUP($C$3&amp;"-"&amp;$D53,Import!$C:$H,4,FALSE)=0,"",VLOOKUP($C$3&amp;"-"&amp;$D53,Import!$C:$H,4,FALSE))</f>
        <v/>
      </c>
      <c r="R53" s="931" t="str">
        <f>IF(VLOOKUP($C$3&amp;"-"&amp;$D53,Import!$C:$H,5,FALSE)=0,"",VLOOKUP($C$3&amp;"-"&amp;$D53,Import!$C:$H,5,FALSE))</f>
        <v/>
      </c>
      <c r="S53" s="932" t="str">
        <f>IF(VLOOKUP($C$3&amp;"-"&amp;$D53,Import!$C:$H,6,FALSE)=0,"",VLOOKUP($C$3&amp;"-"&amp;$D53,Import!$C:$H,6,FALSE))</f>
        <v/>
      </c>
      <c r="T53" s="295"/>
      <c r="U53" s="305"/>
    </row>
    <row r="54" spans="1:21" s="296" customFormat="1" ht="75.599999999999994" customHeight="1" x14ac:dyDescent="0.25">
      <c r="A54" s="305"/>
      <c r="B54" s="1199"/>
      <c r="C54" s="1189"/>
      <c r="D54" s="396" t="s">
        <v>27</v>
      </c>
      <c r="E54" s="420" t="str">
        <f>IF(VLOOKUP(CONCATENATE($C$3,"-",$D54),Languages!$A:$D,1,TRUE)=CONCATENATE($C$3,"-",$D54),VLOOKUP(CONCATENATE($C$3,"-",$D54),Languages!$A:$D,Summary!$C$7,TRUE),NA())</f>
        <v>Hallintasuunnitelma kattaa perusteellisesti sekä tunnettujen hyökkäysten, että toistaiseksi tuntemattomien hyökkäysten todennäköiset vaikutukset. Suunnitelma kattaa perusteellisesti häiriön koko elinkaaren, roolit ja vastuut sekä raportointivelvoitteet.</v>
      </c>
      <c r="F54" s="393">
        <f t="shared" si="2"/>
        <v>0</v>
      </c>
      <c r="G54" s="449" t="s">
        <v>2542</v>
      </c>
      <c r="H54" s="441"/>
      <c r="I54" s="441"/>
      <c r="J54" s="441"/>
      <c r="K54" s="450"/>
      <c r="L54" s="295"/>
      <c r="M54" s="305"/>
      <c r="N54" s="1199"/>
      <c r="O54" s="957" t="str">
        <f>VLOOKUP(VLOOKUP($C$3&amp;"-"&amp;$D54,Import!$C:$D,2,FALSE),Parameters!$C$18:$F$22,Summary!$C$7,FALSE)</f>
        <v xml:space="preserve">0 - Vastaus puuttuu </v>
      </c>
      <c r="P54" s="933" t="str">
        <f>IF(VLOOKUP($C$3&amp;"-"&amp;$D54,Import!$C:$H,3,FALSE)=0,"",VLOOKUP($C$3&amp;"-"&amp;$D54,Import!$C:$H,3,FALSE))</f>
        <v/>
      </c>
      <c r="Q54" s="933" t="str">
        <f>IF(VLOOKUP($C$3&amp;"-"&amp;$D54,Import!$C:$H,4,FALSE)=0,"",VLOOKUP($C$3&amp;"-"&amp;$D54,Import!$C:$H,4,FALSE))</f>
        <v/>
      </c>
      <c r="R54" s="933" t="str">
        <f>IF(VLOOKUP($C$3&amp;"-"&amp;$D54,Import!$C:$H,5,FALSE)=0,"",VLOOKUP($C$3&amp;"-"&amp;$D54,Import!$C:$H,5,FALSE))</f>
        <v/>
      </c>
      <c r="S54" s="934" t="str">
        <f>IF(VLOOKUP($C$3&amp;"-"&amp;$D54,Import!$C:$H,6,FALSE)=0,"",VLOOKUP($C$3&amp;"-"&amp;$D54,Import!$C:$H,6,FALSE))</f>
        <v/>
      </c>
      <c r="T54" s="295"/>
      <c r="U54" s="305"/>
    </row>
    <row r="55" spans="1:21" s="296" customFormat="1" ht="48.6" customHeight="1" x14ac:dyDescent="0.25">
      <c r="A55" s="305"/>
      <c r="B55" s="1199"/>
      <c r="C55" s="1200">
        <v>3</v>
      </c>
      <c r="D55" s="395" t="s">
        <v>28</v>
      </c>
      <c r="E55" s="419" t="str">
        <f>IF(VLOOKUP(CONCATENATE($C$3,"-",$D55),Languages!$A:$D,1,TRUE)=CONCATENATE($C$3,"-",$D55),VLOOKUP(CONCATENATE($C$3,"-",$D55),Languages!$A:$D,Summary!$C$7,TRUE),NA())</f>
        <v>Hallintasuunnitelma on dokumentoitu ja integroitu osaksi organisaation laajempaa liiketoiminnan ja toimitusketjujen jatkuvuudenhallintaa.</v>
      </c>
      <c r="F55" s="386">
        <f t="shared" si="2"/>
        <v>0</v>
      </c>
      <c r="G55" s="445" t="s">
        <v>2542</v>
      </c>
      <c r="H55" s="446"/>
      <c r="I55" s="446"/>
      <c r="J55" s="446"/>
      <c r="K55" s="447"/>
      <c r="L55" s="295"/>
      <c r="M55" s="305"/>
      <c r="N55" s="1199"/>
      <c r="O55" s="955" t="str">
        <f>VLOOKUP(VLOOKUP($C$3&amp;"-"&amp;$D55,Import!$C:$D,2,FALSE),Parameters!$C$18:$F$22,Summary!$C$7,FALSE)</f>
        <v xml:space="preserve">0 - Vastaus puuttuu </v>
      </c>
      <c r="P55" s="931" t="str">
        <f>IF(VLOOKUP($C$3&amp;"-"&amp;$D55,Import!$C:$H,3,FALSE)=0,"",VLOOKUP($C$3&amp;"-"&amp;$D55,Import!$C:$H,3,FALSE))</f>
        <v/>
      </c>
      <c r="Q55" s="931" t="str">
        <f>IF(VLOOKUP($C$3&amp;"-"&amp;$D55,Import!$C:$H,4,FALSE)=0,"",VLOOKUP($C$3&amp;"-"&amp;$D55,Import!$C:$H,4,FALSE))</f>
        <v/>
      </c>
      <c r="R55" s="931" t="str">
        <f>IF(VLOOKUP($C$3&amp;"-"&amp;$D55,Import!$C:$H,5,FALSE)=0,"",VLOOKUP($C$3&amp;"-"&amp;$D55,Import!$C:$H,5,FALSE))</f>
        <v/>
      </c>
      <c r="S55" s="932" t="str">
        <f>IF(VLOOKUP($C$3&amp;"-"&amp;$D55,Import!$C:$H,6,FALSE)=0,"",VLOOKUP($C$3&amp;"-"&amp;$D55,Import!$C:$H,6,FALSE))</f>
        <v/>
      </c>
      <c r="T55" s="295"/>
      <c r="U55" s="305"/>
    </row>
    <row r="56" spans="1:21" s="296" customFormat="1" ht="45" customHeight="1" x14ac:dyDescent="0.25">
      <c r="A56" s="305"/>
      <c r="B56" s="1199"/>
      <c r="C56" s="1201"/>
      <c r="D56" s="396" t="s">
        <v>232</v>
      </c>
      <c r="E56" s="420" t="str">
        <f>IF(VLOOKUP(CONCATENATE($C$3,"-",$D56),Languages!$A:$D,1,TRUE)=CONCATENATE($C$3,"-",$D56),VLOOKUP(CONCATENATE($C$3,"-",$D56),Languages!$A:$D,Summary!$C$7,TRUE),NA())</f>
        <v>Kaikki yhteiskunnalle kriittisten palveluiden tuottamiseen osallistuvat organisaation liiketoimintayksiköt ovat saaneet ja sisäistäneet hallintasuunnitelman.</v>
      </c>
      <c r="F56" s="393">
        <f t="shared" si="2"/>
        <v>0</v>
      </c>
      <c r="G56" s="449" t="s">
        <v>2542</v>
      </c>
      <c r="H56" s="441"/>
      <c r="I56" s="441"/>
      <c r="J56" s="441"/>
      <c r="K56" s="450"/>
      <c r="L56" s="295"/>
      <c r="M56" s="305"/>
      <c r="N56" s="1199"/>
      <c r="O56" s="957" t="str">
        <f>VLOOKUP(VLOOKUP($C$3&amp;"-"&amp;$D56,Import!$C:$D,2,FALSE),Parameters!$C$18:$F$22,Summary!$C$7,FALSE)</f>
        <v xml:space="preserve">0 - Vastaus puuttuu </v>
      </c>
      <c r="P56" s="933" t="str">
        <f>IF(VLOOKUP($C$3&amp;"-"&amp;$D56,Import!$C:$H,3,FALSE)=0,"",VLOOKUP($C$3&amp;"-"&amp;$D56,Import!$C:$H,3,FALSE))</f>
        <v/>
      </c>
      <c r="Q56" s="933" t="str">
        <f>IF(VLOOKUP($C$3&amp;"-"&amp;$D56,Import!$C:$H,4,FALSE)=0,"",VLOOKUP($C$3&amp;"-"&amp;$D56,Import!$C:$H,4,FALSE))</f>
        <v/>
      </c>
      <c r="R56" s="933" t="str">
        <f>IF(VLOOKUP($C$3&amp;"-"&amp;$D56,Import!$C:$H,5,FALSE)=0,"",VLOOKUP($C$3&amp;"-"&amp;$D56,Import!$C:$H,5,FALSE))</f>
        <v/>
      </c>
      <c r="S56" s="934" t="str">
        <f>IF(VLOOKUP($C$3&amp;"-"&amp;$D56,Import!$C:$H,6,FALSE)=0,"",VLOOKUP($C$3&amp;"-"&amp;$D56,Import!$C:$H,6,FALSE))</f>
        <v/>
      </c>
      <c r="T56" s="295"/>
      <c r="U56" s="305"/>
    </row>
    <row r="57" spans="1:21" x14ac:dyDescent="0.25">
      <c r="A57" s="236"/>
      <c r="B57" s="237"/>
      <c r="C57" s="298"/>
      <c r="D57" s="238"/>
      <c r="E57" s="239"/>
      <c r="F57" s="241"/>
      <c r="G57" s="242"/>
      <c r="H57" s="299"/>
      <c r="I57" s="299"/>
      <c r="J57" s="299"/>
      <c r="K57" s="299"/>
      <c r="L57" s="243"/>
      <c r="M57" s="236"/>
      <c r="N57" s="237"/>
      <c r="O57" s="242"/>
      <c r="P57" s="299"/>
      <c r="Q57" s="299"/>
      <c r="R57" s="299"/>
      <c r="S57" s="299"/>
      <c r="T57" s="243"/>
      <c r="U57" s="236"/>
    </row>
    <row r="58" spans="1:21" x14ac:dyDescent="0.25">
      <c r="A58" s="236"/>
      <c r="B58" s="236"/>
      <c r="C58" s="236"/>
      <c r="D58" s="236"/>
      <c r="E58" s="236"/>
      <c r="F58" s="245"/>
      <c r="G58" s="236"/>
      <c r="H58" s="236"/>
      <c r="I58" s="236"/>
      <c r="J58" s="236"/>
      <c r="K58" s="236"/>
      <c r="L58" s="236"/>
      <c r="M58" s="236"/>
      <c r="N58" s="236"/>
      <c r="O58" s="245"/>
      <c r="P58" s="236"/>
      <c r="Q58" s="236"/>
      <c r="R58" s="236"/>
      <c r="S58" s="236"/>
      <c r="T58" s="236"/>
      <c r="U58" s="236"/>
    </row>
  </sheetData>
  <sheetProtection sheet="1" formatCells="0" formatColumns="0" formatRows="0"/>
  <mergeCells count="44">
    <mergeCell ref="O3:S11"/>
    <mergeCell ref="O13:O14"/>
    <mergeCell ref="C6:K6"/>
    <mergeCell ref="I8:J8"/>
    <mergeCell ref="N49:N52"/>
    <mergeCell ref="P13:P14"/>
    <mergeCell ref="Q13:Q14"/>
    <mergeCell ref="R13:R14"/>
    <mergeCell ref="S13:S14"/>
    <mergeCell ref="O15:O16"/>
    <mergeCell ref="P15:P16"/>
    <mergeCell ref="Q15:Q16"/>
    <mergeCell ref="R15:R16"/>
    <mergeCell ref="S15:S16"/>
    <mergeCell ref="O17:O18"/>
    <mergeCell ref="P17:P18"/>
    <mergeCell ref="N53:N56"/>
    <mergeCell ref="C13:K13"/>
    <mergeCell ref="N24:N25"/>
    <mergeCell ref="N26:N29"/>
    <mergeCell ref="N30:N31"/>
    <mergeCell ref="N35:N36"/>
    <mergeCell ref="N37:N45"/>
    <mergeCell ref="C15:K15"/>
    <mergeCell ref="B37:B45"/>
    <mergeCell ref="C37:C43"/>
    <mergeCell ref="C44:C45"/>
    <mergeCell ref="B53:B56"/>
    <mergeCell ref="C53:C54"/>
    <mergeCell ref="C55:C56"/>
    <mergeCell ref="B49:B52"/>
    <mergeCell ref="C49:C52"/>
    <mergeCell ref="I10:J11"/>
    <mergeCell ref="B24:B25"/>
    <mergeCell ref="C17:K17"/>
    <mergeCell ref="B35:B36"/>
    <mergeCell ref="C35:C36"/>
    <mergeCell ref="Q17:Q18"/>
    <mergeCell ref="R17:R18"/>
    <mergeCell ref="S17:S18"/>
    <mergeCell ref="B30:B31"/>
    <mergeCell ref="C28:C30"/>
    <mergeCell ref="B26:B29"/>
    <mergeCell ref="C24:C27"/>
  </mergeCells>
  <conditionalFormatting sqref="F1 F23:F31 F34:F45 F48:F1048576 F3:F5 F7:F12">
    <cfRule type="containsText" dxfId="242" priority="15" operator="containsText" text="0">
      <formula>NOT(ISERROR(SEARCH("0",F1)))</formula>
    </cfRule>
  </conditionalFormatting>
  <conditionalFormatting sqref="F2">
    <cfRule type="containsText" dxfId="241" priority="9" operator="containsText" text="0">
      <formula>NOT(ISERROR(SEARCH("0",F2)))</formula>
    </cfRule>
  </conditionalFormatting>
  <conditionalFormatting sqref="F14">
    <cfRule type="containsText" dxfId="240" priority="3" operator="containsText" text="0">
      <formula>NOT(ISERROR(SEARCH("0",F14)))</formula>
    </cfRule>
  </conditionalFormatting>
  <conditionalFormatting sqref="F16">
    <cfRule type="containsText" dxfId="239" priority="1" operator="containsText" text="0">
      <formula>NOT(ISERROR(SEARCH("0",F16)))</formula>
    </cfRule>
  </conditionalFormatting>
  <pageMargins left="0.7" right="0.7" top="0.75" bottom="0.75" header="0.3" footer="0.3"/>
  <pageSetup paperSize="9" scale="42" orientation="portrait" r:id="rId1"/>
  <rowBreaks count="1" manualBreakCount="1">
    <brk id="45" max="16383" man="1"/>
  </rowBreaks>
  <colBreaks count="1" manualBreakCount="1">
    <brk id="13" max="1048575" man="1"/>
  </colBreaks>
  <ignoredErrors>
    <ignoredError sqref="O56 O45 O31 O24:P24 O25 O26 O27 O28 O29 O30 O35 O36 O37 O38 O39 O40 O41 O42 O43 O44 O49 O50 O51 O52 O53 O54 O55 Q24:S31 P25:P31 P35:S45 P49:S56"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16" id="{13C2B1B1-E218-409A-B450-6991325688F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F23:F31 F3:F5 F1 F34:F45 F48:F1048576 F7:F12</xm:sqref>
        </x14:conditionalFormatting>
        <x14:conditionalFormatting xmlns:xm="http://schemas.microsoft.com/office/excel/2006/main">
          <x14:cfRule type="iconSet" priority="491" id="{2B94D964-115F-4332-8932-214F0E45B76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4" id="{F7CD3ABB-421F-4BDB-B937-F8480B21EFF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2" id="{95D7FAA1-C990-45E8-8784-9E03C9E57A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Parameters!$B$18:$B$22</xm:f>
          </x14:formula1>
          <xm:sqref>G24:G31 G35:G45 G49:G56 O24:O31 O35:O45 O49:O56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2" tint="0.79998168889431442"/>
  </sheetPr>
  <dimension ref="A1:V81"/>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216" customWidth="1"/>
    <col min="7" max="7" width="14.6328125" style="184" customWidth="1"/>
    <col min="8" max="8" width="30.6328125" style="182" customWidth="1"/>
    <col min="9" max="10" width="20.6328125" style="182" customWidth="1"/>
    <col min="11" max="11" width="10.6328125" style="182" customWidth="1"/>
    <col min="12" max="12" width="1.6328125" style="184" customWidth="1"/>
    <col min="13" max="13" width="1.6328125" style="303" customWidth="1"/>
    <col min="14" max="14" width="1.6328125" style="140" customWidth="1"/>
    <col min="15" max="15" width="14.6328125" style="184" customWidth="1"/>
    <col min="16" max="16" width="40.6328125" style="182" customWidth="1"/>
    <col min="17" max="18" width="20.6328125" style="182" customWidth="1"/>
    <col min="19" max="19" width="28.6328125" style="182" customWidth="1"/>
    <col min="20" max="20" width="1.6328125" style="184" customWidth="1"/>
    <col min="21" max="21" width="1.6328125" style="303" customWidth="1"/>
    <col min="22" max="16384" width="9.26953125" style="184"/>
  </cols>
  <sheetData>
    <row r="1" spans="1:22"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2" s="257" customFormat="1" ht="15" customHeight="1" x14ac:dyDescent="0.2">
      <c r="A2" s="252"/>
      <c r="B2" s="142"/>
      <c r="C2" s="253"/>
      <c r="D2" s="145"/>
      <c r="E2" s="254"/>
      <c r="F2" s="146"/>
      <c r="G2" s="255"/>
      <c r="H2" s="255"/>
      <c r="I2" s="255"/>
      <c r="J2" s="255"/>
      <c r="K2" s="255"/>
      <c r="L2" s="147"/>
      <c r="M2" s="252"/>
      <c r="N2" s="464"/>
      <c r="O2" s="806"/>
      <c r="P2" s="806"/>
      <c r="Q2" s="806"/>
      <c r="R2" s="806"/>
      <c r="S2" s="806"/>
      <c r="T2" s="807"/>
      <c r="U2" s="252"/>
    </row>
    <row r="3" spans="1:22" s="257" customFormat="1" ht="25.05" customHeight="1" x14ac:dyDescent="0.25">
      <c r="A3" s="252"/>
      <c r="B3" s="149"/>
      <c r="C3" s="150" t="s">
        <v>48</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8"/>
      <c r="O3" s="1184" t="str">
        <f>VLOOKUP($C$3,Infoimport!$B$4:$C$14,2,FALSE)</f>
        <v xml:space="preserve">ASSET, tiedot Infoimport-välilehdeltä
</v>
      </c>
      <c r="P3" s="1184"/>
      <c r="Q3" s="1184"/>
      <c r="R3" s="1184"/>
      <c r="S3" s="1184"/>
      <c r="T3" s="809"/>
      <c r="U3" s="252"/>
    </row>
    <row r="4" spans="1:22" ht="25.05" customHeight="1" x14ac:dyDescent="0.3">
      <c r="A4" s="178"/>
      <c r="B4" s="308"/>
      <c r="C4" s="155" t="str">
        <f>IF(VLOOKUP($C$3,Languages!$A:$D,1,TRUE)=$C$3,VLOOKUP($C$3,Languages!$A:$D,Summary!$C$7,TRUE),NA())</f>
        <v>Omaisuuden, muutosten ja konfiguraation hallinta (ASSET)</v>
      </c>
      <c r="D4" s="324"/>
      <c r="E4" s="321"/>
      <c r="F4" s="261"/>
      <c r="G4" s="310"/>
      <c r="H4" s="261" t="str">
        <f ca="1">VLOOKUP(VLOOKUP(CONCATENATE($C$3),Data!$K:$O,5,FALSE),Parameters!$C$7:$F$10,Summary!$C$7,FALSE)</f>
        <v>Kypsyystaso 0</v>
      </c>
      <c r="I4" s="697"/>
      <c r="J4" s="262"/>
      <c r="K4" s="302"/>
      <c r="L4" s="189"/>
      <c r="M4" s="135"/>
      <c r="N4" s="808"/>
      <c r="O4" s="1184"/>
      <c r="P4" s="1184"/>
      <c r="Q4" s="1184"/>
      <c r="R4" s="1184"/>
      <c r="S4" s="1184"/>
      <c r="T4" s="809"/>
      <c r="U4" s="135"/>
    </row>
    <row r="5" spans="1:22" ht="10.050000000000001" customHeight="1" x14ac:dyDescent="0.25">
      <c r="A5" s="178"/>
      <c r="B5" s="308"/>
      <c r="C5" s="321"/>
      <c r="D5" s="322"/>
      <c r="E5" s="322"/>
      <c r="F5" s="261"/>
      <c r="G5" s="261"/>
      <c r="H5" s="205"/>
      <c r="I5" s="262"/>
      <c r="J5" s="262"/>
      <c r="K5" s="262"/>
      <c r="L5" s="189"/>
      <c r="M5" s="135"/>
      <c r="N5" s="808"/>
      <c r="O5" s="1184"/>
      <c r="P5" s="1184"/>
      <c r="Q5" s="1184"/>
      <c r="R5" s="1184"/>
      <c r="S5" s="1184"/>
      <c r="T5" s="809"/>
      <c r="U5" s="135"/>
    </row>
    <row r="6" spans="1:22" ht="60" customHeight="1" x14ac:dyDescent="0.25">
      <c r="A6" s="178"/>
      <c r="B6" s="308"/>
      <c r="C6" s="1204" t="str">
        <f>IF(VLOOKUP(CONCATENATE(C3,"-0"),Languages!$A:$D,1,TRUE)=CONCATENATE(C3,"-0"),VLOOKUP(CONCATENATE(C3,"-0"),Languages!$A:$D,Summary!$C$7,TRUE),NA())</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D6" s="1204"/>
      <c r="E6" s="1204"/>
      <c r="F6" s="1204"/>
      <c r="G6" s="1204"/>
      <c r="H6" s="1204"/>
      <c r="I6" s="1204"/>
      <c r="J6" s="1204"/>
      <c r="K6" s="1204"/>
      <c r="L6" s="189"/>
      <c r="M6" s="135"/>
      <c r="N6" s="808"/>
      <c r="O6" s="1184"/>
      <c r="P6" s="1184"/>
      <c r="Q6" s="1184"/>
      <c r="R6" s="1184"/>
      <c r="S6" s="1184"/>
      <c r="T6" s="809"/>
      <c r="U6" s="135"/>
    </row>
    <row r="7" spans="1:22" ht="15.45" customHeight="1" x14ac:dyDescent="0.2">
      <c r="A7" s="178"/>
      <c r="B7" s="308"/>
      <c r="C7" s="264">
        <v>1</v>
      </c>
      <c r="D7" s="265" t="s">
        <v>1</v>
      </c>
      <c r="E7" s="266" t="str">
        <f>IF(VLOOKUP(CONCATENATE($C$3,"-",C7),Languages!$A:$D,1,TRUE)=CONCATENATE($C$3,"-",C7),VLOOKUP(CONCATENATE($C$3,"-",C7),Languages!$A:$D,Summary!$C$7,TRUE),NA())</f>
        <v>Laitteiden ja ohjelmistojen hallinta</v>
      </c>
      <c r="F7" s="1118"/>
      <c r="G7" s="310"/>
      <c r="H7" s="267" t="str">
        <f ca="1">VLOOKUP(VLOOKUP(CONCATENATE($C$3,"-",$C7),Data!$K:$O,5,FALSE),Parameters!$C$7:$F$10,Summary!$C$7,FALSE)</f>
        <v>Kypsyystaso 0</v>
      </c>
      <c r="I7" s="465" t="str">
        <f>IF(VLOOKUP("KM110",Languages!$A:$D,1,TRUE)="KM110",VLOOKUP("KM110",Languages!$A:$D,Summary!$C$7,TRUE),NA())</f>
        <v>Päivämäärä</v>
      </c>
      <c r="J7" s="439"/>
      <c r="K7" s="302"/>
      <c r="L7" s="189"/>
      <c r="M7" s="135"/>
      <c r="N7" s="808"/>
      <c r="O7" s="1184"/>
      <c r="P7" s="1184"/>
      <c r="Q7" s="1184"/>
      <c r="R7" s="1184"/>
      <c r="S7" s="1184"/>
      <c r="T7" s="809"/>
      <c r="U7" s="135"/>
    </row>
    <row r="8" spans="1:22" ht="14.4" customHeight="1" x14ac:dyDescent="0.25">
      <c r="A8" s="178"/>
      <c r="B8" s="308"/>
      <c r="C8" s="264">
        <v>2</v>
      </c>
      <c r="D8" s="265" t="s">
        <v>1</v>
      </c>
      <c r="E8" s="266" t="str">
        <f>IF(VLOOKUP(CONCATENATE($C$3,"-",C8),Languages!$A:$D,1,TRUE)=CONCATENATE($C$3,"-",C8),VLOOKUP(CONCATENATE($C$3,"-",C8),Languages!$A:$D,Summary!$C$7,TRUE),NA())</f>
        <v>Tietovarantojen hallinta</v>
      </c>
      <c r="F8" s="341"/>
      <c r="G8" s="310"/>
      <c r="H8" s="267" t="str">
        <f ca="1">VLOOKUP(VLOOKUP(CONCATENATE($C$3,"-",$C8),Data!$K:$O,5,FALSE),Parameters!$C$7:$F$10,Summary!$C$7,FALSE)</f>
        <v>Kypsyystaso 0</v>
      </c>
      <c r="I8" s="1213"/>
      <c r="J8" s="1206"/>
      <c r="K8" s="302"/>
      <c r="L8" s="189"/>
      <c r="M8" s="135"/>
      <c r="N8" s="808"/>
      <c r="O8" s="1184"/>
      <c r="P8" s="1184"/>
      <c r="Q8" s="1184"/>
      <c r="R8" s="1184"/>
      <c r="S8" s="1184"/>
      <c r="T8" s="809"/>
      <c r="U8" s="135"/>
    </row>
    <row r="9" spans="1:22" ht="14.4" customHeight="1" x14ac:dyDescent="0.2">
      <c r="A9" s="178"/>
      <c r="B9" s="308"/>
      <c r="C9" s="264">
        <v>3</v>
      </c>
      <c r="D9" s="265" t="s">
        <v>1</v>
      </c>
      <c r="E9" s="266" t="str">
        <f>IF(VLOOKUP(CONCATENATE($C$3,"-",C9),Languages!$A:$D,1,TRUE)=CONCATENATE($C$3,"-",C9),VLOOKUP(CONCATENATE($C$3,"-",C9),Languages!$A:$D,Summary!$C$7,TRUE),NA())</f>
        <v>Konfiguraation hallinta</v>
      </c>
      <c r="F9" s="194"/>
      <c r="G9" s="310"/>
      <c r="H9" s="267" t="str">
        <f ca="1">VLOOKUP(VLOOKUP(CONCATENATE($C$3,"-",$C9),Data!$K:$O,5,FALSE),Parameters!$C$7:$F$10,Summary!$C$7,FALSE)</f>
        <v>Kypsyystaso 0</v>
      </c>
      <c r="I9" s="465" t="str">
        <f>IF(VLOOKUP("KM111",Languages!$A:$D,1,TRUE)="KM111",VLOOKUP("KM111",Languages!$A:$D,Summary!$C$7,TRUE),NA())</f>
        <v>Osallistujat</v>
      </c>
      <c r="J9" s="439"/>
      <c r="K9" s="302"/>
      <c r="L9" s="189"/>
      <c r="M9" s="135"/>
      <c r="N9" s="808"/>
      <c r="O9" s="1184"/>
      <c r="P9" s="1184"/>
      <c r="Q9" s="1184"/>
      <c r="R9" s="1184"/>
      <c r="S9" s="1184"/>
      <c r="T9" s="809"/>
      <c r="U9" s="135"/>
    </row>
    <row r="10" spans="1:22" ht="14.4" customHeight="1" x14ac:dyDescent="0.25">
      <c r="A10" s="178"/>
      <c r="B10" s="308"/>
      <c r="C10" s="264">
        <v>4</v>
      </c>
      <c r="D10" s="265" t="s">
        <v>1</v>
      </c>
      <c r="E10" s="266" t="str">
        <f>IF(VLOOKUP(CONCATENATE($C$3,"-",C10),Languages!$A:$D,1,TRUE)=CONCATENATE($C$3,"-",C10),VLOOKUP(CONCATENATE($C$3,"-",C10),Languages!$A:$D,Summary!$C$7,TRUE),NA())</f>
        <v>Muutoksenhallinta</v>
      </c>
      <c r="F10" s="1118"/>
      <c r="G10" s="310"/>
      <c r="H10" s="267" t="str">
        <f ca="1">VLOOKUP(VLOOKUP(CONCATENATE($C$3,"-",$C10),Data!$K:$O,5,FALSE),Parameters!$C$7:$F$10,Summary!$C$7,FALSE)</f>
        <v>Kypsyystaso 0</v>
      </c>
      <c r="I10" s="1194"/>
      <c r="J10" s="1195"/>
      <c r="K10" s="302"/>
      <c r="L10" s="189"/>
      <c r="M10" s="135"/>
      <c r="N10" s="808"/>
      <c r="O10" s="1184"/>
      <c r="P10" s="1184"/>
      <c r="Q10" s="1184"/>
      <c r="R10" s="1184"/>
      <c r="S10" s="1184"/>
      <c r="T10" s="809"/>
      <c r="U10" s="135"/>
    </row>
    <row r="11" spans="1:22" ht="14.4" customHeight="1" x14ac:dyDescent="0.25">
      <c r="A11" s="178"/>
      <c r="B11" s="308"/>
      <c r="C11" s="264">
        <v>5</v>
      </c>
      <c r="D11" s="265" t="s">
        <v>1</v>
      </c>
      <c r="E11" s="266" t="str">
        <f>IF(VLOOKUP(CONCATENATE($C$3,"-",C11),Languages!$A:$D,1,TRUE)=CONCATENATE($C$3,"-",C11),VLOOKUP(CONCATENATE($C$3,"-",C11),Languages!$A:$D,Summary!$C$7,TRUE),NA())</f>
        <v>Yleisiä hallintatoimia</v>
      </c>
      <c r="F11" s="1118"/>
      <c r="G11" s="310"/>
      <c r="H11" s="267" t="str">
        <f ca="1">VLOOKUP(VLOOKUP(CONCATENATE($C$3,"-",$C11),Data!$K:$O,5,FALSE),Parameters!$C$7:$F$10,Summary!$C$7,FALSE)</f>
        <v>Kypsyystaso 1</v>
      </c>
      <c r="I11" s="1196"/>
      <c r="J11" s="1197"/>
      <c r="K11" s="326"/>
      <c r="L11" s="189"/>
      <c r="M11" s="135"/>
      <c r="N11" s="808"/>
      <c r="O11" s="1184"/>
      <c r="P11" s="1184"/>
      <c r="Q11" s="1184"/>
      <c r="R11" s="1184"/>
      <c r="S11" s="1184"/>
      <c r="T11" s="809"/>
      <c r="U11" s="135"/>
      <c r="V11" s="278"/>
    </row>
    <row r="12" spans="1:22" s="177" customFormat="1" ht="30" customHeight="1" x14ac:dyDescent="0.25">
      <c r="A12" s="166"/>
      <c r="B12" s="269"/>
      <c r="C12" s="170">
        <v>1</v>
      </c>
      <c r="D12" s="170" t="str">
        <f>IF(VLOOKUP(CONCATENATE($C$3,"-",C12),Languages!$A:$D,1,TRUE)=CONCATENATE($C$3,"-",C12),VLOOKUP(CONCATENATE($C$3,"-",C12),Languages!$A:$D,Summary!$C$7,TRUE),NA())</f>
        <v>Laitteiden ja ohjelmistojen hallinta</v>
      </c>
      <c r="E12" s="170"/>
      <c r="F12" s="271"/>
      <c r="G12" s="271"/>
      <c r="H12" s="272"/>
      <c r="I12" s="272"/>
      <c r="J12" s="272"/>
      <c r="K12" s="272"/>
      <c r="L12" s="189"/>
      <c r="M12" s="135"/>
      <c r="N12" s="808"/>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09"/>
      <c r="U12" s="135"/>
      <c r="V12" s="278"/>
    </row>
    <row r="13" spans="1:22" s="278" customFormat="1" ht="30" customHeight="1" x14ac:dyDescent="0.25">
      <c r="A13" s="275"/>
      <c r="B13" s="276"/>
      <c r="C13" s="1216" t="str">
        <f>IF(VLOOKUP(CONCATENATE($C$3,"-",$C12,"-0"),Languages!$A:$D,1,TRUE)=CONCATENATE($C$3,"-",$C12,"-0"),VLOOKUP(CONCATENATE($C$3,"-",$C12,"-0"),Languages!$A:$D,Summary!$C$7,TRUE),NA())</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D13" s="1216"/>
      <c r="E13" s="1216"/>
      <c r="F13" s="1216"/>
      <c r="G13" s="1216"/>
      <c r="H13" s="1216"/>
      <c r="I13" s="1216"/>
      <c r="J13" s="1216"/>
      <c r="K13" s="1216"/>
      <c r="L13" s="189"/>
      <c r="M13" s="135"/>
      <c r="N13" s="808"/>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09"/>
      <c r="U13" s="135"/>
    </row>
    <row r="14" spans="1:22" s="177" customFormat="1" ht="21" customHeight="1" x14ac:dyDescent="0.25">
      <c r="A14" s="166"/>
      <c r="B14" s="269"/>
      <c r="C14" s="170">
        <v>2</v>
      </c>
      <c r="D14" s="170" t="str">
        <f>IF(VLOOKUP(CONCATENATE($C$3,"-",C14),Languages!$A:$D,1,TRUE)=CONCATENATE($C$3,"-",C14),VLOOKUP(CONCATENATE($C$3,"-",C14),Languages!$A:$D,Summary!$C$7,TRUE),NA())</f>
        <v>Tietovarantojen hallinta</v>
      </c>
      <c r="E14" s="170"/>
      <c r="F14" s="293"/>
      <c r="G14" s="292" t="s">
        <v>16</v>
      </c>
      <c r="H14" s="293"/>
      <c r="I14" s="293"/>
      <c r="J14" s="293"/>
      <c r="K14" s="293"/>
      <c r="L14" s="189"/>
      <c r="M14" s="135"/>
      <c r="N14" s="808"/>
      <c r="O14" s="1203"/>
      <c r="P14" s="1185"/>
      <c r="Q14" s="1185"/>
      <c r="R14" s="1185"/>
      <c r="S14" s="1185"/>
      <c r="T14" s="809"/>
      <c r="U14" s="135"/>
      <c r="V14" s="278"/>
    </row>
    <row r="15" spans="1:22" s="278" customFormat="1" ht="30" customHeight="1" x14ac:dyDescent="0.25">
      <c r="A15" s="275"/>
      <c r="B15" s="276"/>
      <c r="C15" s="1216" t="str">
        <f>IF(VLOOKUP(CONCATENATE($C$3,"-",$C14,"-0"),Languages!$A:$D,1,TRUE)=CONCATENATE($C$3,"-",$C14,"-0"),VLOOKUP(CONCATENATE($C$3,"-",$C14,"-0"),Languages!$A:$D,Summary!$C$7,TRUE),NA())</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D15" s="1216"/>
      <c r="E15" s="1216"/>
      <c r="F15" s="1216"/>
      <c r="G15" s="1216"/>
      <c r="H15" s="1216"/>
      <c r="I15" s="1216"/>
      <c r="J15" s="1216"/>
      <c r="K15" s="1216"/>
      <c r="L15" s="189"/>
      <c r="M15" s="135"/>
      <c r="N15" s="808"/>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09"/>
      <c r="U15" s="135"/>
    </row>
    <row r="16" spans="1:22" s="177" customFormat="1" ht="21" customHeight="1" x14ac:dyDescent="0.25">
      <c r="A16" s="166"/>
      <c r="B16" s="269"/>
      <c r="C16" s="170">
        <v>3</v>
      </c>
      <c r="D16" s="170" t="str">
        <f>IF(VLOOKUP(CONCATENATE($C$3,"-",C16),Languages!$A:$D,1,TRUE)=CONCATENATE($C$3,"-",C16),VLOOKUP(CONCATENATE($C$3,"-",C16),Languages!$A:$D,Summary!$C$7,TRUE),NA())</f>
        <v>Konfiguraation hallinta</v>
      </c>
      <c r="E16" s="170"/>
      <c r="F16" s="293"/>
      <c r="G16" s="292" t="s">
        <v>16</v>
      </c>
      <c r="H16" s="293"/>
      <c r="I16" s="293"/>
      <c r="J16" s="293"/>
      <c r="K16" s="293"/>
      <c r="L16" s="189"/>
      <c r="M16" s="135"/>
      <c r="N16" s="808"/>
      <c r="O16" s="1203"/>
      <c r="P16" s="1185"/>
      <c r="Q16" s="1185"/>
      <c r="R16" s="1185"/>
      <c r="S16" s="1185"/>
      <c r="T16" s="809"/>
      <c r="U16" s="135"/>
      <c r="V16" s="278"/>
    </row>
    <row r="17" spans="1:22" s="278" customFormat="1" ht="45.45" customHeight="1" x14ac:dyDescent="0.25">
      <c r="A17" s="275"/>
      <c r="B17" s="276"/>
      <c r="C17" s="1216" t="str">
        <f>IF(VLOOKUP(CONCATENATE($C$3,"-",$C16,"-0"),Languages!$A:$D,1,TRUE)=CONCATENATE($C$3,"-",$C16,"-0"),VLOOKUP(CONCATENATE($C$3,"-",$C16,"-0"),Languages!$A:$D,Summary!$C$7,TRUE),NA())</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D17" s="1216"/>
      <c r="E17" s="1216"/>
      <c r="F17" s="1216"/>
      <c r="G17" s="1216"/>
      <c r="H17" s="1216"/>
      <c r="I17" s="1216"/>
      <c r="J17" s="1216"/>
      <c r="K17" s="1216"/>
      <c r="L17" s="189"/>
      <c r="M17" s="135"/>
      <c r="N17" s="808"/>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09"/>
      <c r="U17" s="135"/>
    </row>
    <row r="18" spans="1:22" s="177" customFormat="1" ht="21" customHeight="1" x14ac:dyDescent="0.25">
      <c r="A18" s="166"/>
      <c r="B18" s="269"/>
      <c r="C18" s="170">
        <v>4</v>
      </c>
      <c r="D18" s="170" t="str">
        <f>IF(VLOOKUP(CONCATENATE($C$3,"-",C18),Languages!$A:$D,1,TRUE)=CONCATENATE($C$3,"-",C18),VLOOKUP(CONCATENATE($C$3,"-",C18),Languages!$A:$D,Summary!$C$7,TRUE),NA())</f>
        <v>Muutoksenhallinta</v>
      </c>
      <c r="E18" s="170"/>
      <c r="F18" s="293"/>
      <c r="G18" s="292" t="s">
        <v>16</v>
      </c>
      <c r="H18" s="293"/>
      <c r="I18" s="293"/>
      <c r="J18" s="293"/>
      <c r="K18" s="293"/>
      <c r="L18" s="189"/>
      <c r="M18" s="135"/>
      <c r="N18" s="808"/>
      <c r="O18" s="1203"/>
      <c r="P18" s="1185"/>
      <c r="Q18" s="1185"/>
      <c r="R18" s="1185"/>
      <c r="S18" s="1185"/>
      <c r="T18" s="809"/>
      <c r="U18" s="135"/>
      <c r="V18" s="278"/>
    </row>
    <row r="19" spans="1:22" s="278" customFormat="1" ht="46.2" customHeight="1" x14ac:dyDescent="0.25">
      <c r="A19" s="275"/>
      <c r="B19" s="276"/>
      <c r="C19" s="1216" t="str">
        <f>IF(VLOOKUP(CONCATENATE($C$3,"-",$C18,"-0"),Languages!$A:$D,1,TRUE)=CONCATENATE($C$3,"-",$C18,"-0"),VLOOKUP(CONCATENATE($C$3,"-",$C18,"-0"),Languages!$A:$D,Summary!$C$7,TRUE),NA())</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D19" s="1216"/>
      <c r="E19" s="1216"/>
      <c r="F19" s="1216"/>
      <c r="G19" s="1216"/>
      <c r="H19" s="1216"/>
      <c r="I19" s="1216"/>
      <c r="J19" s="1216"/>
      <c r="K19" s="1216"/>
      <c r="L19" s="189"/>
      <c r="M19" s="135"/>
      <c r="N19" s="808"/>
      <c r="O19" s="1202" t="str">
        <f>IF(VLOOKUP(CONCATENATE($C$3,"-",$C18),Import!$C$11:$H$485,2,FALSE)=0,"",VLOOKUP(CONCATENATE($C$3,"-",$C18),Import!$C$11:$H$485,2,FALSE))</f>
        <v/>
      </c>
      <c r="P19" s="1184" t="str">
        <f>IF(VLOOKUP(CONCATENATE($C$3,"-",$C18),Import!$C$11:$H$485,3,FALSE)=0,"",VLOOKUP(CONCATENATE($C$3,"-",$C18),Import!$C$11:$H$485,3,FALSE))</f>
        <v/>
      </c>
      <c r="Q19" s="1184" t="str">
        <f>IF(VLOOKUP(CONCATENATE($C$3,"-",$C18),Import!$C$11:$H$485,4,FALSE)=0,"",VLOOKUP(CONCATENATE($C$3,"-",$C18),Import!$C$11:$H$485,4,FALSE))</f>
        <v/>
      </c>
      <c r="R19" s="1184" t="str">
        <f>IF(VLOOKUP(CONCATENATE($C$3,"-",$C18),Import!$C$11:$H$485,5,FALSE)=0,"",VLOOKUP(CONCATENATE($C$3,"-",$C18),Import!$C$11:$H$485,5,FALSE))</f>
        <v/>
      </c>
      <c r="S19" s="1184" t="str">
        <f>IF(VLOOKUP(CONCATENATE($C$3,"-",$C18),Import!$C$11:$H$485,6,FALSE)=0,"",VLOOKUP(CONCATENATE($C$3,"-",$C18),Import!$C$11:$H$485,6,FALSE))</f>
        <v/>
      </c>
      <c r="T19" s="809"/>
      <c r="U19" s="135"/>
    </row>
    <row r="20" spans="1:22" s="177" customFormat="1" ht="21" customHeight="1" x14ac:dyDescent="0.25">
      <c r="A20" s="166"/>
      <c r="B20" s="269"/>
      <c r="C20" s="170">
        <v>5</v>
      </c>
      <c r="D20" s="170" t="str">
        <f>IF(VLOOKUP(CONCATENATE($C$3,"-",C20),Languages!$A:$D,1,TRUE)=CONCATENATE($C$3,"-",C20),VLOOKUP(CONCATENATE($C$3,"-",C20),Languages!$A:$D,Summary!$C$7,TRUE),NA())</f>
        <v>Yleisiä hallintatoimia</v>
      </c>
      <c r="E20" s="170"/>
      <c r="F20" s="292"/>
      <c r="G20" s="292" t="s">
        <v>16</v>
      </c>
      <c r="H20" s="293"/>
      <c r="I20" s="293"/>
      <c r="J20" s="293"/>
      <c r="K20" s="293"/>
      <c r="L20" s="189"/>
      <c r="M20" s="135"/>
      <c r="N20" s="808"/>
      <c r="O20" s="1203"/>
      <c r="P20" s="1185"/>
      <c r="Q20" s="1185"/>
      <c r="R20" s="1185"/>
      <c r="S20" s="1185"/>
      <c r="T20" s="809"/>
      <c r="U20" s="135"/>
      <c r="V20" s="278"/>
    </row>
    <row r="21" spans="1:22" s="278" customFormat="1" ht="44.4" customHeight="1" x14ac:dyDescent="0.25">
      <c r="A21" s="305"/>
      <c r="B21" s="306"/>
      <c r="C21" s="1216"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16"/>
      <c r="E21" s="1216"/>
      <c r="F21" s="1216"/>
      <c r="G21" s="1216"/>
      <c r="H21" s="1216"/>
      <c r="I21" s="1216"/>
      <c r="J21" s="1216"/>
      <c r="K21" s="1216"/>
      <c r="L21" s="189"/>
      <c r="M21" s="135"/>
      <c r="N21" s="808"/>
      <c r="O21" s="1202" t="str">
        <f>IF(VLOOKUP(CONCATENATE($C$3,"-",$C20),Import!$C$11:$H$485,2,FALSE)=0,"",VLOOKUP(CONCATENATE($C$3,"-",$C20),Import!$C$11:$H$485,2,FALSE))</f>
        <v/>
      </c>
      <c r="P21" s="1184" t="str">
        <f>IF(VLOOKUP(CONCATENATE($C$3,"-",$C20),Import!$C$11:$H$485,3,FALSE)=0,"",VLOOKUP(CONCATENATE($C$3,"-",$C20),Import!$C$11:$H$485,3,FALSE))</f>
        <v/>
      </c>
      <c r="Q21" s="1184" t="str">
        <f>IF(VLOOKUP(CONCATENATE($C$3,"-",$C20),Import!$C$11:$H$485,4,FALSE)=0,"",VLOOKUP(CONCATENATE($C$3,"-",$C20),Import!$C$11:$H$485,4,FALSE))</f>
        <v/>
      </c>
      <c r="R21" s="1184" t="str">
        <f>IF(VLOOKUP(CONCATENATE($C$3,"-",$C20),Import!$C$11:$H$485,5,FALSE)=0,"",VLOOKUP(CONCATENATE($C$3,"-",$C20),Import!$C$11:$H$485,5,FALSE))</f>
        <v/>
      </c>
      <c r="S21" s="1184" t="str">
        <f>IF(VLOOKUP(CONCATENATE($C$3,"-",$C20),Import!$C$11:$H$485,6,FALSE)=0,"",VLOOKUP(CONCATENATE($C$3,"-",$C20),Import!$C$11:$H$485,6,FALSE))</f>
        <v/>
      </c>
      <c r="T21" s="809"/>
      <c r="U21" s="135"/>
    </row>
    <row r="22" spans="1:22" s="278" customFormat="1" ht="27" customHeight="1" x14ac:dyDescent="0.25">
      <c r="A22" s="305"/>
      <c r="B22" s="306"/>
      <c r="C22" s="1116"/>
      <c r="D22" s="1116"/>
      <c r="E22" s="1116"/>
      <c r="F22" s="1116"/>
      <c r="G22" s="1116"/>
      <c r="H22" s="1116"/>
      <c r="I22" s="1116"/>
      <c r="J22" s="1116"/>
      <c r="K22" s="1116"/>
      <c r="L22" s="189"/>
      <c r="M22" s="135"/>
      <c r="N22" s="1125"/>
      <c r="O22" s="1203"/>
      <c r="P22" s="1185"/>
      <c r="Q22" s="1185"/>
      <c r="R22" s="1185"/>
      <c r="S22" s="1185"/>
      <c r="T22" s="1125"/>
      <c r="U22" s="135"/>
    </row>
    <row r="23" spans="1:22" s="278" customFormat="1" ht="16.8" customHeight="1" x14ac:dyDescent="0.25">
      <c r="A23" s="305"/>
      <c r="B23" s="1121"/>
      <c r="C23" s="1122"/>
      <c r="D23" s="1122"/>
      <c r="E23" s="1122"/>
      <c r="F23" s="1122"/>
      <c r="G23" s="1122"/>
      <c r="H23" s="1122"/>
      <c r="I23" s="1122"/>
      <c r="J23" s="1122"/>
      <c r="K23" s="1122"/>
      <c r="L23" s="1128"/>
      <c r="M23" s="135"/>
      <c r="N23" s="810"/>
      <c r="O23" s="1117"/>
      <c r="P23" s="1117"/>
      <c r="Q23" s="1117"/>
      <c r="R23" s="1117"/>
      <c r="S23" s="1117"/>
      <c r="T23" s="811"/>
      <c r="U23" s="135"/>
    </row>
    <row r="24" spans="1:22" s="278" customFormat="1" ht="18" customHeight="1" x14ac:dyDescent="0.25">
      <c r="A24" s="305"/>
      <c r="B24" s="655"/>
      <c r="C24" s="655"/>
      <c r="D24" s="655"/>
      <c r="E24" s="655"/>
      <c r="F24" s="655"/>
      <c r="G24" s="655"/>
      <c r="H24" s="655"/>
      <c r="I24" s="655"/>
      <c r="J24" s="655"/>
      <c r="K24" s="655"/>
      <c r="L24" s="656"/>
      <c r="M24" s="135"/>
      <c r="N24" s="135"/>
      <c r="O24" s="251"/>
      <c r="P24" s="250"/>
      <c r="Q24" s="771"/>
      <c r="R24" s="250"/>
      <c r="S24" s="250"/>
      <c r="T24" s="135"/>
      <c r="U24" s="135"/>
    </row>
    <row r="25" spans="1:22" s="278" customFormat="1" ht="19.95" customHeight="1" x14ac:dyDescent="0.2">
      <c r="A25" s="305"/>
      <c r="B25" s="649"/>
      <c r="C25" s="647"/>
      <c r="D25" s="647"/>
      <c r="E25" s="647"/>
      <c r="F25" s="647"/>
      <c r="G25" s="647"/>
      <c r="H25" s="647"/>
      <c r="I25" s="647"/>
      <c r="J25" s="647"/>
      <c r="K25" s="647"/>
      <c r="L25" s="648"/>
      <c r="M25" s="252"/>
      <c r="N25" s="464" t="str">
        <f>IF(VLOOKUP("KM116",Languages!$A:$D,1,TRUE)="KM116",VLOOKUP("KM116",Languages!$A:$D,Summary!$C$7,TRUE),NA())</f>
        <v>EDELLINEN ARVIOINTI</v>
      </c>
      <c r="O25" s="430"/>
      <c r="P25" s="255"/>
      <c r="Q25" s="772" t="str">
        <f>IF(VLOOKUP("KM110",Languages!$A:$D,1,TRUE)="KM110",VLOOKUP("KM110",Languages!$A:$D,Summary!$C$7,TRUE),NA())</f>
        <v>Päivämäärä</v>
      </c>
      <c r="R25" s="255"/>
      <c r="S25" s="255"/>
      <c r="T25" s="147"/>
      <c r="U25" s="252"/>
    </row>
    <row r="26" spans="1:22" s="177" customFormat="1" ht="19.95" customHeight="1" x14ac:dyDescent="0.25">
      <c r="A26" s="166"/>
      <c r="B26" s="269"/>
      <c r="C26" s="170">
        <v>1</v>
      </c>
      <c r="D26" s="170" t="str">
        <f>IF(VLOOKUP(CONCATENATE($C$3,"-",C26),Languages!$A:$D,1,TRUE)=CONCATENATE($C$3,"-",C26),VLOOKUP(CONCATENATE($C$3,"-",C26),Languages!$A:$D,Summary!$C$7,TRUE),NA())</f>
        <v>Laitteiden ja ohjelmistojen hallinta</v>
      </c>
      <c r="E26" s="170"/>
      <c r="F26" s="271"/>
      <c r="G26" s="271"/>
      <c r="H26" s="272"/>
      <c r="I26" s="272"/>
      <c r="J26" s="272"/>
      <c r="K26" s="272"/>
      <c r="L26" s="189"/>
      <c r="M26" s="305"/>
      <c r="N26" s="306"/>
      <c r="O26" s="431"/>
      <c r="P26" s="426"/>
      <c r="Q26" s="697"/>
      <c r="R26" s="770"/>
      <c r="S26" s="770"/>
      <c r="T26" s="277"/>
      <c r="U26" s="305"/>
      <c r="V26" s="278"/>
    </row>
    <row r="27" spans="1:22" s="285" customFormat="1" ht="19.95" customHeight="1" x14ac:dyDescent="0.2">
      <c r="A27" s="304"/>
      <c r="B27" s="279"/>
      <c r="C27" s="280" t="str">
        <f>IF(VLOOKUP("GEN-LEVEL",Languages!$A:$D,1,TRUE)="GEN-LEVEL",VLOOKUP("GEN-LEVEL",Languages!$A:$D,Summary!$C$7,TRUE),NA())</f>
        <v>Taso</v>
      </c>
      <c r="D27" s="280"/>
      <c r="E27" s="281" t="str">
        <f>IF(VLOOKUP("GEN-PRACTICE",Languages!$A:$D,1,TRUE)="GEN-PRACTICE",VLOOKUP("GEN-PRACTICE",Languages!$A:$D,Summary!$C$7,TRUE),NA())</f>
        <v>Käytäntö</v>
      </c>
      <c r="F27" s="282"/>
      <c r="G27" s="904" t="str">
        <f>IF(VLOOKUP("GEN-ANSWER",Languages!$A:$D,1,TRUE)="GEN-ANSWER",VLOOKUP("GEN-ANSWER",Languages!$A:$D,Summary!$C$7,TRUE),NA())</f>
        <v>Vastaus</v>
      </c>
      <c r="H27" s="905" t="str">
        <f>IF(VLOOKUP("KM112",Languages!$A:$D,1,TRUE)="KM112",VLOOKUP("KM112",Languages!$A:$D,Summary!$C$7,TRUE),NA())</f>
        <v>Kommentit</v>
      </c>
      <c r="I27" s="905" t="str">
        <f>IF(VLOOKUP("KM113",Languages!$A:$D,1,TRUE)="KM113",VLOOKUP("KM113",Languages!$A:$D,Summary!$C$7,TRUE),NA())</f>
        <v>Sisäinen viittaus</v>
      </c>
      <c r="J27" s="905" t="str">
        <f>IF(VLOOKUP("KM114",Languages!$A:$D,1,TRUE)="KM114",VLOOKUP("KM114",Languages!$A:$D,Summary!$C$7,TRUE),NA())</f>
        <v>Ulkoinen viittaus</v>
      </c>
      <c r="K27" s="905" t="str">
        <f>IF(VLOOKUP("KM115",Languages!$A:$D,1,TRUE)="KM115",VLOOKUP("KM115",Languages!$A:$D,Summary!$C$7,TRUE),NA())</f>
        <v>Kehityskohde</v>
      </c>
      <c r="L27" s="283"/>
      <c r="M27" s="284"/>
      <c r="N27" s="279"/>
      <c r="O27" s="463" t="str">
        <f>IF(VLOOKUP("GEN-ANSWER",Languages!$A:$D,1,TRUE)="GEN-ANSWER",VLOOKUP("GEN-ANSWER",Languages!$A:$D,Summary!$C$7,TRUE),NA())</f>
        <v>Vastaus</v>
      </c>
      <c r="P27" s="463" t="str">
        <f>IF(VLOOKUP("KM112",Languages!$A:$D,1,TRUE)="KM112",VLOOKUP("KM112",Languages!$A:$D,Summary!$C$7,TRUE),NA())</f>
        <v>Kommentit</v>
      </c>
      <c r="Q27" s="463" t="str">
        <f>IF(VLOOKUP("KM113",Languages!$A:$D,1,TRUE)="KM113",VLOOKUP("KM113",Languages!$A:$D,Summary!$C$7,TRUE),NA())</f>
        <v>Sisäinen viittaus</v>
      </c>
      <c r="R27" s="463" t="str">
        <f>IF(VLOOKUP("KM114",Languages!$A:$D,1,TRUE)="KM114",VLOOKUP("KM114",Languages!$A:$D,Summary!$C$7,TRUE),NA())</f>
        <v>Ulkoinen viittaus</v>
      </c>
      <c r="S27" s="463" t="str">
        <f>IF(VLOOKUP("KM115",Languages!$A:$D,1,TRUE)="KM115",VLOOKUP("KM115",Languages!$A:$D,Summary!$C$7,TRUE),NA())</f>
        <v>Kehityskohde</v>
      </c>
      <c r="T27" s="283"/>
      <c r="U27" s="284"/>
    </row>
    <row r="28" spans="1:22" s="289" customFormat="1" ht="60" customHeight="1" x14ac:dyDescent="0.25">
      <c r="A28" s="275"/>
      <c r="B28" s="1190"/>
      <c r="C28" s="521">
        <v>1</v>
      </c>
      <c r="D28" s="390" t="s">
        <v>5</v>
      </c>
      <c r="E28" s="466" t="str">
        <f>IF(VLOOKUP(CONCATENATE($C$3,"-",$D28),Languages!$A:$D,1,TRUE)=CONCATENATE($C$3,"-",$D28),VLOOKUP(CONCATENATE($C$3,"-",$D28),Languages!$A:$D,Summary!$C$7,TRUE),NA())</f>
        <v>Toiminnon kannalta tärkeistä IT- ja OT-laitteista ja ohjelmistoista on olemassa rekisteri. (Huomioi myös mahdollisten OT-ympäristöjen laitteet ja ohjelmistot). Tasolla 1 rekisterin ylläpidon ei tarvitse olla systemaattista ja säännöllistä.</v>
      </c>
      <c r="F28" s="391">
        <f t="shared" ref="F28:F35" si="0">IFERROR(INT(LEFT($G28,1)),0)</f>
        <v>0</v>
      </c>
      <c r="G28" s="456" t="s">
        <v>2542</v>
      </c>
      <c r="H28" s="486"/>
      <c r="I28" s="486"/>
      <c r="J28" s="486"/>
      <c r="K28" s="487"/>
      <c r="L28" s="189"/>
      <c r="M28" s="135"/>
      <c r="N28" s="157"/>
      <c r="O28" s="886" t="str">
        <f>VLOOKUP(VLOOKUP($C$3&amp;"-"&amp;$D28,Import!$C:$D,2,FALSE),Parameters!$C$18:$F$22,Summary!$C$7,FALSE)</f>
        <v xml:space="preserve">0 - Vastaus puuttuu </v>
      </c>
      <c r="P28" s="911" t="str">
        <f>IF(VLOOKUP($C$3&amp;"-"&amp;$D28,Import!$C:$H,3,FALSE)=0,"",VLOOKUP($C$3&amp;"-"&amp;$D28,Import!$C:$H,3,FALSE))</f>
        <v/>
      </c>
      <c r="Q28" s="911" t="str">
        <f>IF(VLOOKUP($C$3&amp;"-"&amp;$D28,Import!$C:$H,4,FALSE)=0,"",VLOOKUP($C$3&amp;"-"&amp;$D28,Import!$C:$H,4,FALSE))</f>
        <v/>
      </c>
      <c r="R28" s="911" t="str">
        <f>IF(VLOOKUP($C$3&amp;"-"&amp;$D28,Import!$C:$H,5,FALSE)=0,"",VLOOKUP($C$3&amp;"-"&amp;$D28,Import!$C:$H,5,FALSE))</f>
        <v/>
      </c>
      <c r="S28" s="912" t="str">
        <f>IF(VLOOKUP($C$3&amp;"-"&amp;$D28,Import!$C:$H,6,FALSE)=0,"",VLOOKUP($C$3&amp;"-"&amp;$D28,Import!$C:$H,6,FALSE))</f>
        <v/>
      </c>
      <c r="T28" s="189"/>
      <c r="U28" s="135"/>
      <c r="V28" s="278"/>
    </row>
    <row r="29" spans="1:22" s="289" customFormat="1" ht="45" customHeight="1" x14ac:dyDescent="0.25">
      <c r="A29" s="275"/>
      <c r="B29" s="1190"/>
      <c r="C29" s="1217">
        <v>2</v>
      </c>
      <c r="D29" s="387" t="s">
        <v>7</v>
      </c>
      <c r="E29" s="467" t="str">
        <f>IF(VLOOKUP(CONCATENATE($C$3,"-",$D29),Languages!$A:$D,1,TRUE)=CONCATENATE($C$3,"-",$D29),VLOOKUP(CONCATENATE($C$3,"-",$D29),Languages!$A:$D,Summary!$C$7,TRUE),NA())</f>
        <v>Rekisteriin on kirjattu sellaiset toimintoon kuuluvat laitteet ja ohjelmistot, joita voitaisiin käyttää hyökkääjän tavoitteen saavuttamiseen.</v>
      </c>
      <c r="F29" s="386">
        <f t="shared" si="0"/>
        <v>0</v>
      </c>
      <c r="G29" s="488" t="s">
        <v>2542</v>
      </c>
      <c r="H29" s="446"/>
      <c r="I29" s="446"/>
      <c r="J29" s="446"/>
      <c r="K29" s="447"/>
      <c r="L29" s="189"/>
      <c r="M29" s="135"/>
      <c r="N29" s="157"/>
      <c r="O29" s="936" t="str">
        <f>VLOOKUP(VLOOKUP($C$3&amp;"-"&amp;$D29,Import!$C:$D,2,FALSE),Parameters!$C$18:$F$22,Summary!$C$7,FALSE)</f>
        <v xml:space="preserve">0 - Vastaus puuttuu </v>
      </c>
      <c r="P29" s="931" t="str">
        <f>IF(VLOOKUP($C$3&amp;"-"&amp;$D29,Import!$C:$H,3,FALSE)=0,"",VLOOKUP($C$3&amp;"-"&amp;$D29,Import!$C:$H,3,FALSE))</f>
        <v/>
      </c>
      <c r="Q29" s="931" t="str">
        <f>IF(VLOOKUP($C$3&amp;"-"&amp;$D29,Import!$C:$H,4,FALSE)=0,"",VLOOKUP($C$3&amp;"-"&amp;$D29,Import!$C:$H,4,FALSE))</f>
        <v/>
      </c>
      <c r="R29" s="931" t="str">
        <f>IF(VLOOKUP($C$3&amp;"-"&amp;$D29,Import!$C:$H,5,FALSE)=0,"",VLOOKUP($C$3&amp;"-"&amp;$D29,Import!$C:$H,5,FALSE))</f>
        <v/>
      </c>
      <c r="S29" s="932" t="str">
        <f>IF(VLOOKUP($C$3&amp;"-"&amp;$D29,Import!$C:$H,6,FALSE)=0,"",VLOOKUP($C$3&amp;"-"&amp;$D29,Import!$C:$H,6,FALSE))</f>
        <v/>
      </c>
      <c r="T29" s="189"/>
      <c r="U29" s="135"/>
      <c r="V29" s="278"/>
    </row>
    <row r="30" spans="1:22" s="289" customFormat="1" ht="59.4" customHeight="1" x14ac:dyDescent="0.25">
      <c r="A30" s="275"/>
      <c r="B30" s="1190"/>
      <c r="C30" s="1218"/>
      <c r="D30" s="286" t="s">
        <v>8</v>
      </c>
      <c r="E30" s="468" t="str">
        <f>IF(VLOOKUP(CONCATENATE($C$3,"-",$D30),Languages!$A:$D,1,TRUE)=CONCATENATE($C$3,"-",$D30),VLOOKUP(CONCATENATE($C$3,"-",$D30),Languages!$A:$D,Summary!$C$7,TRUE),NA())</f>
        <v>Rekisteriin kirjatut laitteet ja ohjelmistot on priorisoitu noudattaen määriteltyjä priorisointikriteerejä, joihin kuuluu arviointi laitteen tai ohjelmiston tärkeydestä toiminnolle.</v>
      </c>
      <c r="F30" s="287">
        <f t="shared" si="0"/>
        <v>0</v>
      </c>
      <c r="G30" s="307" t="s">
        <v>2542</v>
      </c>
      <c r="H30" s="440"/>
      <c r="I30" s="440"/>
      <c r="J30" s="440"/>
      <c r="K30" s="448"/>
      <c r="L30" s="189"/>
      <c r="M30" s="135"/>
      <c r="N30" s="157"/>
      <c r="O30" s="892" t="str">
        <f>VLOOKUP(VLOOKUP($C$3&amp;"-"&amp;$D30,Import!$C:$D,2,FALSE),Parameters!$C$18:$F$22,Summary!$C$7,FALSE)</f>
        <v xml:space="preserve">0 - Vastaus puuttuu </v>
      </c>
      <c r="P30" s="914" t="str">
        <f>IF(VLOOKUP($C$3&amp;"-"&amp;$D30,Import!$C:$H,3,FALSE)=0,"",VLOOKUP($C$3&amp;"-"&amp;$D30,Import!$C:$H,3,FALSE))</f>
        <v/>
      </c>
      <c r="Q30" s="914" t="str">
        <f>IF(VLOOKUP($C$3&amp;"-"&amp;$D30,Import!$C:$H,4,FALSE)=0,"",VLOOKUP($C$3&amp;"-"&amp;$D30,Import!$C:$H,4,FALSE))</f>
        <v/>
      </c>
      <c r="R30" s="914" t="str">
        <f>IF(VLOOKUP($C$3&amp;"-"&amp;$D30,Import!$C:$H,5,FALSE)=0,"",VLOOKUP($C$3&amp;"-"&amp;$D30,Import!$C:$H,5,FALSE))</f>
        <v/>
      </c>
      <c r="S30" s="915" t="str">
        <f>IF(VLOOKUP($C$3&amp;"-"&amp;$D30,Import!$C:$H,6,FALSE)=0,"",VLOOKUP($C$3&amp;"-"&amp;$D30,Import!$C:$H,6,FALSE))</f>
        <v/>
      </c>
      <c r="T30" s="189"/>
      <c r="U30" s="135"/>
      <c r="V30" s="278"/>
    </row>
    <row r="31" spans="1:22" s="289" customFormat="1" ht="45" customHeight="1" x14ac:dyDescent="0.25">
      <c r="A31" s="275"/>
      <c r="B31" s="1190"/>
      <c r="C31" s="1218"/>
      <c r="D31" s="286" t="s">
        <v>9</v>
      </c>
      <c r="E31" s="469" t="str">
        <f>IF(VLOOKUP(CONCATENATE($C$3,"-",$D31),Languages!$A:$D,1,TRUE)=CONCATENATE($C$3,"-",$D31),VLOOKUP(CONCATENATE($C$3,"-",$D31),Languages!$A:$D,Summary!$C$7,TRUE),NA())</f>
        <v>Priorisointikriteereissä huomioidaan lisäksi missä laajuudessa hyökkääjä voisi käyttää laitetta tai ohjelmistoa [ks. ASSET-1b] tavoitteensa saavuttamiseen (tietomurto, toiminnan häiriö jne.).</v>
      </c>
      <c r="F31" s="287">
        <f t="shared" si="0"/>
        <v>0</v>
      </c>
      <c r="G31" s="307" t="s">
        <v>2542</v>
      </c>
      <c r="H31" s="440"/>
      <c r="I31" s="440"/>
      <c r="J31" s="440"/>
      <c r="K31" s="448"/>
      <c r="L31" s="189"/>
      <c r="M31" s="135"/>
      <c r="N31" s="157"/>
      <c r="O31" s="892" t="str">
        <f>VLOOKUP(VLOOKUP($C$3&amp;"-"&amp;$D31,Import!$C:$D,2,FALSE),Parameters!$C$18:$F$22,Summary!$C$7,FALSE)</f>
        <v xml:space="preserve">0 - Vastaus puuttuu </v>
      </c>
      <c r="P31" s="914" t="str">
        <f>IF(VLOOKUP($C$3&amp;"-"&amp;$D31,Import!$C:$H,3,FALSE)=0,"",VLOOKUP($C$3&amp;"-"&amp;$D31,Import!$C:$H,3,FALSE))</f>
        <v/>
      </c>
      <c r="Q31" s="914" t="str">
        <f>IF(VLOOKUP($C$3&amp;"-"&amp;$D31,Import!$C:$H,4,FALSE)=0,"",VLOOKUP($C$3&amp;"-"&amp;$D31,Import!$C:$H,4,FALSE))</f>
        <v/>
      </c>
      <c r="R31" s="914" t="str">
        <f>IF(VLOOKUP($C$3&amp;"-"&amp;$D31,Import!$C:$H,5,FALSE)=0,"",VLOOKUP($C$3&amp;"-"&amp;$D31,Import!$C:$H,5,FALSE))</f>
        <v/>
      </c>
      <c r="S31" s="915" t="str">
        <f>IF(VLOOKUP($C$3&amp;"-"&amp;$D31,Import!$C:$H,6,FALSE)=0,"",VLOOKUP($C$3&amp;"-"&amp;$D31,Import!$C:$H,6,FALSE))</f>
        <v/>
      </c>
      <c r="T31" s="189"/>
      <c r="U31" s="135"/>
      <c r="V31" s="278"/>
    </row>
    <row r="32" spans="1:22" s="289" customFormat="1" ht="45" customHeight="1" x14ac:dyDescent="0.25">
      <c r="A32" s="275"/>
      <c r="B32" s="1190"/>
      <c r="C32" s="1219"/>
      <c r="D32" s="388" t="s">
        <v>10</v>
      </c>
      <c r="E32" s="470" t="str">
        <f>IF(VLOOKUP(CONCATENATE($C$3,"-",$D32),Languages!$A:$D,1,TRUE)=CONCATENATE($C$3,"-",$D32),VLOOKUP(CONCATENATE($C$3,"-",$D32),Languages!$A:$D,Summary!$C$7,TRUE),NA())</f>
        <v>Rekisteriin on kirjattu laitteista ja ohjelmistoista sellaisia ominaisuuksia, jotka tukevat organisaation kybertoimintaa (esimerkiksi laitteen tai ohjelmiston sijainti, prioriteetti, käyttöjärjestelmä tai firmware-versio).</v>
      </c>
      <c r="F32" s="385">
        <f t="shared" si="0"/>
        <v>0</v>
      </c>
      <c r="G32" s="492" t="s">
        <v>2542</v>
      </c>
      <c r="H32" s="493"/>
      <c r="I32" s="493"/>
      <c r="J32" s="493"/>
      <c r="K32" s="494"/>
      <c r="L32" s="189"/>
      <c r="M32" s="135"/>
      <c r="N32" s="157"/>
      <c r="O32" s="946" t="str">
        <f>VLOOKUP(VLOOKUP($C$3&amp;"-"&amp;$D32,Import!$C:$D,2,FALSE),Parameters!$C$18:$F$22,Summary!$C$7,FALSE)</f>
        <v xml:space="preserve">0 - Vastaus puuttuu </v>
      </c>
      <c r="P32" s="919" t="str">
        <f>IF(VLOOKUP($C$3&amp;"-"&amp;$D32,Import!$C:$H,3,FALSE)=0,"",VLOOKUP($C$3&amp;"-"&amp;$D32,Import!$C:$H,3,FALSE))</f>
        <v/>
      </c>
      <c r="Q32" s="919" t="str">
        <f>IF(VLOOKUP($C$3&amp;"-"&amp;$D32,Import!$C:$H,4,FALSE)=0,"",VLOOKUP($C$3&amp;"-"&amp;$D32,Import!$C:$H,4,FALSE))</f>
        <v/>
      </c>
      <c r="R32" s="919" t="str">
        <f>IF(VLOOKUP($C$3&amp;"-"&amp;$D32,Import!$C:$H,5,FALSE)=0,"",VLOOKUP($C$3&amp;"-"&amp;$D32,Import!$C:$H,5,FALSE))</f>
        <v/>
      </c>
      <c r="S32" s="920" t="str">
        <f>IF(VLOOKUP($C$3&amp;"-"&amp;$D32,Import!$C:$H,6,FALSE)=0,"",VLOOKUP($C$3&amp;"-"&amp;$D32,Import!$C:$H,6,FALSE))</f>
        <v/>
      </c>
      <c r="T32" s="189"/>
      <c r="U32" s="135"/>
      <c r="V32" s="278"/>
    </row>
    <row r="33" spans="1:22" s="289" customFormat="1" ht="34.950000000000003" customHeight="1" x14ac:dyDescent="0.25">
      <c r="A33" s="275"/>
      <c r="B33" s="1190"/>
      <c r="C33" s="1220">
        <v>3</v>
      </c>
      <c r="D33" s="389" t="s">
        <v>11</v>
      </c>
      <c r="E33" s="471" t="str">
        <f>IF(VLOOKUP(CONCATENATE($C$3,"-",$D33),Languages!$A:$D,1,TRUE)=CONCATENATE($C$3,"-",$D33),VLOOKUP(CONCATENATE($C$3,"-",$D33),Languages!$A:$D,Summary!$C$7,TRUE),NA())</f>
        <v>Rekisteri (IT ja OT) on täydellinen (eli rekisteri kattaa kaikki toiminnon pyörittämiseen tarvittavat laitteet, ohjelmistot ja tietovarannot).</v>
      </c>
      <c r="F33" s="386">
        <f t="shared" si="0"/>
        <v>0</v>
      </c>
      <c r="G33" s="445" t="s">
        <v>2542</v>
      </c>
      <c r="H33" s="442"/>
      <c r="I33" s="442"/>
      <c r="J33" s="442"/>
      <c r="K33" s="451"/>
      <c r="L33" s="189"/>
      <c r="M33" s="135"/>
      <c r="N33" s="157"/>
      <c r="O33" s="889" t="str">
        <f>VLOOKUP(VLOOKUP($C$3&amp;"-"&amp;$D33,Import!$C:$D,2,FALSE),Parameters!$C$18:$F$22,Summary!$C$7,FALSE)</f>
        <v xml:space="preserve">0 - Vastaus puuttuu </v>
      </c>
      <c r="P33" s="921" t="str">
        <f>IF(VLOOKUP($C$3&amp;"-"&amp;$D33,Import!$C:$H,3,FALSE)=0,"",VLOOKUP($C$3&amp;"-"&amp;$D33,Import!$C:$H,3,FALSE))</f>
        <v/>
      </c>
      <c r="Q33" s="921" t="str">
        <f>IF(VLOOKUP($C$3&amp;"-"&amp;$D33,Import!$C:$H,4,FALSE)=0,"",VLOOKUP($C$3&amp;"-"&amp;$D33,Import!$C:$H,4,FALSE))</f>
        <v/>
      </c>
      <c r="R33" s="921" t="str">
        <f>IF(VLOOKUP($C$3&amp;"-"&amp;$D33,Import!$C:$H,5,FALSE)=0,"",VLOOKUP($C$3&amp;"-"&amp;$D33,Import!$C:$H,5,FALSE))</f>
        <v/>
      </c>
      <c r="S33" s="922" t="str">
        <f>IF(VLOOKUP($C$3&amp;"-"&amp;$D33,Import!$C:$H,6,FALSE)=0,"",VLOOKUP($C$3&amp;"-"&amp;$D33,Import!$C:$H,6,FALSE))</f>
        <v/>
      </c>
      <c r="T33" s="189"/>
      <c r="U33" s="135"/>
      <c r="V33" s="278"/>
    </row>
    <row r="34" spans="1:22" s="289" customFormat="1" ht="42.6" customHeight="1" x14ac:dyDescent="0.25">
      <c r="A34" s="275"/>
      <c r="B34" s="382"/>
      <c r="C34" s="1221"/>
      <c r="D34" s="290" t="s">
        <v>12</v>
      </c>
      <c r="E34" s="469" t="str">
        <f>IF(VLOOKUP(CONCATENATE($C$3,"-",$D34),Languages!$A:$D,1,TRUE)=CONCATENATE($C$3,"-",$D34),VLOOKUP(CONCATENATE($C$3,"-",$D34),Languages!$A:$D,Summary!$C$7,TRUE),NA())</f>
        <v>Rekisteri on ajan tasalla (eli rekisteriä päivitetään aika ajoin ja määriteltyjen tilanteiden kuten järjestelmämuutosten yhteydessä).</v>
      </c>
      <c r="F34" s="287">
        <f t="shared" si="0"/>
        <v>0</v>
      </c>
      <c r="G34" s="307" t="s">
        <v>2542</v>
      </c>
      <c r="H34" s="443"/>
      <c r="I34" s="443"/>
      <c r="J34" s="443"/>
      <c r="K34" s="452"/>
      <c r="L34" s="189"/>
      <c r="M34" s="135"/>
      <c r="N34" s="157"/>
      <c r="O34" s="892" t="str">
        <f>VLOOKUP(VLOOKUP($C$3&amp;"-"&amp;$D34,Import!$C:$D,2,FALSE),Parameters!$C$18:$F$22,Summary!$C$7,FALSE)</f>
        <v xml:space="preserve">0 - Vastaus puuttuu </v>
      </c>
      <c r="P34" s="916" t="str">
        <f>IF(VLOOKUP($C$3&amp;"-"&amp;$D34,Import!$C:$H,3,FALSE)=0,"",VLOOKUP($C$3&amp;"-"&amp;$D34,Import!$C:$H,3,FALSE))</f>
        <v/>
      </c>
      <c r="Q34" s="916" t="str">
        <f>IF(VLOOKUP($C$3&amp;"-"&amp;$D34,Import!$C:$H,4,FALSE)=0,"",VLOOKUP($C$3&amp;"-"&amp;$D34,Import!$C:$H,4,FALSE))</f>
        <v/>
      </c>
      <c r="R34" s="916" t="str">
        <f>IF(VLOOKUP($C$3&amp;"-"&amp;$D34,Import!$C:$H,5,FALSE)=0,"",VLOOKUP($C$3&amp;"-"&amp;$D34,Import!$C:$H,5,FALSE))</f>
        <v/>
      </c>
      <c r="S34" s="917" t="str">
        <f>IF(VLOOKUP($C$3&amp;"-"&amp;$D34,Import!$C:$H,6,FALSE)=0,"",VLOOKUP($C$3&amp;"-"&amp;$D34,Import!$C:$H,6,FALSE))</f>
        <v/>
      </c>
      <c r="T34" s="189"/>
      <c r="U34" s="135"/>
      <c r="V34" s="278"/>
    </row>
    <row r="35" spans="1:22" s="289" customFormat="1" ht="72" customHeight="1" x14ac:dyDescent="0.25">
      <c r="A35" s="275"/>
      <c r="B35" s="382"/>
      <c r="C35" s="1222"/>
      <c r="D35" s="392" t="s">
        <v>13</v>
      </c>
      <c r="E35" s="472" t="str">
        <f>IF(VLOOKUP(CONCATENATE($C$3,"-",$D35),Languages!$A:$D,1,TRUE)=CONCATENATE($C$3,"-",$D35),VLOOKUP(CONCATENATE($C$3,"-",$D35),Languages!$A:$D,Summary!$C$7,TRUE),NA())</f>
        <v>Kaikki tiedot on tuhottu tai poistettu laitteista ennen käyttöönottoa uudessa kohteessa ja ennen käytöstä poistamista.</v>
      </c>
      <c r="F35" s="393">
        <f t="shared" si="0"/>
        <v>0</v>
      </c>
      <c r="G35" s="449" t="s">
        <v>2542</v>
      </c>
      <c r="H35" s="444"/>
      <c r="I35" s="444"/>
      <c r="J35" s="444"/>
      <c r="K35" s="453"/>
      <c r="L35" s="189"/>
      <c r="M35" s="135"/>
      <c r="N35" s="157"/>
      <c r="O35" s="897" t="str">
        <f>VLOOKUP(VLOOKUP($C$3&amp;"-"&amp;$D35,Import!$C:$D,2,FALSE),Parameters!$C$18:$F$22,Summary!$C$7,FALSE)</f>
        <v xml:space="preserve">0 - Vastaus puuttuu </v>
      </c>
      <c r="P35" s="923" t="str">
        <f>IF(VLOOKUP($C$3&amp;"-"&amp;$D35,Import!$C:$H,3,FALSE)=0,"",VLOOKUP($C$3&amp;"-"&amp;$D35,Import!$C:$H,3,FALSE))</f>
        <v/>
      </c>
      <c r="Q35" s="923" t="str">
        <f>IF(VLOOKUP($C$3&amp;"-"&amp;$D35,Import!$C:$H,4,FALSE)=0,"",VLOOKUP($C$3&amp;"-"&amp;$D35,Import!$C:$H,4,FALSE))</f>
        <v/>
      </c>
      <c r="R35" s="923" t="str">
        <f>IF(VLOOKUP($C$3&amp;"-"&amp;$D35,Import!$C:$H,5,FALSE)=0,"",VLOOKUP($C$3&amp;"-"&amp;$D35,Import!$C:$H,5,FALSE))</f>
        <v/>
      </c>
      <c r="S35" s="924" t="str">
        <f>IF(VLOOKUP($C$3&amp;"-"&amp;$D35,Import!$C:$H,6,FALSE)=0,"",VLOOKUP($C$3&amp;"-"&amp;$D35,Import!$C:$H,6,FALSE))</f>
        <v/>
      </c>
      <c r="T35" s="189"/>
      <c r="U35" s="135"/>
      <c r="V35" s="278"/>
    </row>
    <row r="36" spans="1:22" s="177" customFormat="1" ht="30" customHeight="1" x14ac:dyDescent="0.25">
      <c r="A36" s="166"/>
      <c r="B36" s="269"/>
      <c r="C36" s="170">
        <v>2</v>
      </c>
      <c r="D36" s="170" t="str">
        <f>IF(VLOOKUP(CONCATENATE($C$3,"-",C36),Languages!$A:$D,1,TRUE)=CONCATENATE($C$3,"-",C36),VLOOKUP(CONCATENATE($C$3,"-",C36),Languages!$A:$D,Summary!$C$7,TRUE),NA())</f>
        <v>Tietovarantojen hallinta</v>
      </c>
      <c r="E36" s="170"/>
      <c r="F36" s="293"/>
      <c r="G36" s="907"/>
      <c r="H36" s="929"/>
      <c r="I36" s="929"/>
      <c r="J36" s="929"/>
      <c r="K36" s="929"/>
      <c r="L36" s="189"/>
      <c r="M36" s="135"/>
      <c r="N36" s="157"/>
      <c r="O36" s="292"/>
      <c r="P36" s="293"/>
      <c r="Q36" s="293"/>
      <c r="R36" s="293"/>
      <c r="S36" s="293"/>
      <c r="T36" s="189"/>
      <c r="U36" s="135"/>
      <c r="V36" s="278"/>
    </row>
    <row r="37" spans="1:22" s="285" customFormat="1" ht="19.95" customHeight="1" x14ac:dyDescent="0.2">
      <c r="A37" s="304"/>
      <c r="B37" s="279"/>
      <c r="C37" s="280" t="str">
        <f>IF(VLOOKUP("GEN-LEVEL",Languages!$A:$D,1,TRUE)="GEN-LEVEL",VLOOKUP("GEN-LEVEL",Languages!$A:$D,Summary!$C$7,TRUE),NA())</f>
        <v>Taso</v>
      </c>
      <c r="D37" s="280"/>
      <c r="E37" s="281" t="str">
        <f>IF(VLOOKUP("GEN-PRACTICE",Languages!$A:$D,1,TRUE)="GEN-PRACTICE",VLOOKUP("GEN-PRACTICE",Languages!$A:$D,Summary!$C$7,TRUE),NA())</f>
        <v>Käytäntö</v>
      </c>
      <c r="F37" s="282"/>
      <c r="G37" s="904" t="str">
        <f>IF(VLOOKUP("GEN-ANSWER",Languages!$A:$D,1,TRUE)="GEN-ANSWER",VLOOKUP("GEN-ANSWER",Languages!$A:$D,Summary!$C$7,TRUE),NA())</f>
        <v>Vastaus</v>
      </c>
      <c r="H37" s="905" t="str">
        <f>IF(VLOOKUP("KM112",Languages!$A:$D,1,TRUE)="KM112",VLOOKUP("KM112",Languages!$A:$D,Summary!$C$7,TRUE),NA())</f>
        <v>Kommentit</v>
      </c>
      <c r="I37" s="905" t="str">
        <f>IF(VLOOKUP("KM113",Languages!$A:$D,1,TRUE)="KM113",VLOOKUP("KM113",Languages!$A:$D,Summary!$C$7,TRUE),NA())</f>
        <v>Sisäinen viittaus</v>
      </c>
      <c r="J37" s="905" t="str">
        <f>IF(VLOOKUP("KM114",Languages!$A:$D,1,TRUE)="KM114",VLOOKUP("KM114",Languages!$A:$D,Summary!$C$7,TRUE),NA())</f>
        <v>Ulkoinen viittaus</v>
      </c>
      <c r="K37" s="905" t="str">
        <f>IF(VLOOKUP("KM115",Languages!$A:$D,1,TRUE)="KM115",VLOOKUP("KM115",Languages!$A:$D,Summary!$C$7,TRUE),NA())</f>
        <v>Kehityskohde</v>
      </c>
      <c r="L37" s="283"/>
      <c r="M37" s="284"/>
      <c r="N37" s="279"/>
      <c r="O37" s="463" t="str">
        <f>IF(VLOOKUP("GEN-ANSWER",Languages!$A:$D,1,TRUE)="GEN-ANSWER",VLOOKUP("GEN-ANSWER",Languages!$A:$D,Summary!$C$7,TRUE),NA())</f>
        <v>Vastaus</v>
      </c>
      <c r="P37" s="463" t="str">
        <f>IF(VLOOKUP("KM112",Languages!$A:$D,1,TRUE)="KM112",VLOOKUP("KM112",Languages!$A:$D,Summary!$C$7,TRUE),NA())</f>
        <v>Kommentit</v>
      </c>
      <c r="Q37" s="463" t="str">
        <f>IF(VLOOKUP("KM113",Languages!$A:$D,1,TRUE)="KM113",VLOOKUP("KM113",Languages!$A:$D,Summary!$C$7,TRUE),NA())</f>
        <v>Sisäinen viittaus</v>
      </c>
      <c r="R37" s="463" t="str">
        <f>IF(VLOOKUP("KM114",Languages!$A:$D,1,TRUE)="KM114",VLOOKUP("KM114",Languages!$A:$D,Summary!$C$7,TRUE),NA())</f>
        <v>Ulkoinen viittaus</v>
      </c>
      <c r="S37" s="463" t="str">
        <f>IF(VLOOKUP("KM115",Languages!$A:$D,1,TRUE)="KM115",VLOOKUP("KM115",Languages!$A:$D,Summary!$C$7,TRUE),NA())</f>
        <v>Kehityskohde</v>
      </c>
      <c r="T37" s="283"/>
      <c r="U37" s="284"/>
    </row>
    <row r="38" spans="1:22" s="296" customFormat="1" ht="77.400000000000006" customHeight="1" x14ac:dyDescent="0.25">
      <c r="A38" s="305"/>
      <c r="B38" s="1199"/>
      <c r="C38" s="522">
        <v>1</v>
      </c>
      <c r="D38" s="397" t="s">
        <v>17</v>
      </c>
      <c r="E38" s="473" t="str">
        <f>IF(VLOOKUP(CONCATENATE($C$3,"-",$D38),Languages!$A:$D,1,TRUE)=CONCATENATE($C$3,"-",$D38),VLOOKUP(CONCATENATE($C$3,"-",$D38),Languages!$A:$D,Summary!$C$7,TRUE),NA())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38" s="398">
        <f t="shared" ref="F38:F45" si="1">IFERROR(INT(LEFT($G38,1)),0)</f>
        <v>0</v>
      </c>
      <c r="G38" s="488" t="s">
        <v>2542</v>
      </c>
      <c r="H38" s="489"/>
      <c r="I38" s="489"/>
      <c r="J38" s="489"/>
      <c r="K38" s="490"/>
      <c r="L38" s="189"/>
      <c r="M38" s="135"/>
      <c r="N38" s="157"/>
      <c r="O38" s="936" t="str">
        <f>VLOOKUP(VLOOKUP($C$3&amp;"-"&amp;$D38,Import!$C:$D,2,FALSE),Parameters!$C$18:$F$22,Summary!$C$7,FALSE)</f>
        <v xml:space="preserve">0 - Vastaus puuttuu </v>
      </c>
      <c r="P38" s="937" t="str">
        <f>IF(VLOOKUP($C$3&amp;"-"&amp;$D38,Import!$C:$H,3,FALSE)=0,"",VLOOKUP($C$3&amp;"-"&amp;$D38,Import!$C:$H,3,FALSE))</f>
        <v/>
      </c>
      <c r="Q38" s="937" t="str">
        <f>IF(VLOOKUP($C$3&amp;"-"&amp;$D38,Import!$C:$H,4,FALSE)=0,"",VLOOKUP($C$3&amp;"-"&amp;$D38,Import!$C:$H,4,FALSE))</f>
        <v/>
      </c>
      <c r="R38" s="937" t="str">
        <f>IF(VLOOKUP($C$3&amp;"-"&amp;$D38,Import!$C:$H,5,FALSE)=0,"",VLOOKUP($C$3&amp;"-"&amp;$D38,Import!$C:$H,5,FALSE))</f>
        <v/>
      </c>
      <c r="S38" s="938" t="str">
        <f>IF(VLOOKUP($C$3&amp;"-"&amp;$D38,Import!$C:$H,6,FALSE)=0,"",VLOOKUP($C$3&amp;"-"&amp;$D38,Import!$C:$H,6,FALSE))</f>
        <v/>
      </c>
      <c r="T38" s="189"/>
      <c r="U38" s="135"/>
      <c r="V38" s="278"/>
    </row>
    <row r="39" spans="1:22" s="296" customFormat="1" ht="45" customHeight="1" x14ac:dyDescent="0.25">
      <c r="A39" s="305"/>
      <c r="B39" s="1199"/>
      <c r="C39" s="1207">
        <v>2</v>
      </c>
      <c r="D39" s="395" t="s">
        <v>18</v>
      </c>
      <c r="E39" s="467" t="str">
        <f>IF(VLOOKUP(CONCATENATE($C$3,"-",$D39),Languages!$A:$D,1,TRUE)=CONCATENATE($C$3,"-",$D39),VLOOKUP(CONCATENATE($C$3,"-",$D39),Languages!$A:$D,Summary!$C$7,TRUE),NA())</f>
        <v>Rekisteriin on kirjattu sellaiset toimintoon kuuluvat tietovarannot, joita voitaisiin käyttää hyökkääjän tavoitteen saavuttamiseen.</v>
      </c>
      <c r="F39" s="386">
        <f t="shared" si="1"/>
        <v>0</v>
      </c>
      <c r="G39" s="445" t="s">
        <v>2542</v>
      </c>
      <c r="H39" s="442"/>
      <c r="I39" s="442"/>
      <c r="J39" s="442"/>
      <c r="K39" s="451"/>
      <c r="L39" s="189"/>
      <c r="M39" s="135"/>
      <c r="N39" s="157"/>
      <c r="O39" s="889" t="str">
        <f>VLOOKUP(VLOOKUP($C$3&amp;"-"&amp;$D39,Import!$C:$D,2,FALSE),Parameters!$C$18:$F$22,Summary!$C$7,FALSE)</f>
        <v xml:space="preserve">0 - Vastaus puuttuu </v>
      </c>
      <c r="P39" s="921" t="str">
        <f>IF(VLOOKUP($C$3&amp;"-"&amp;$D39,Import!$C:$H,3,FALSE)=0,"",VLOOKUP($C$3&amp;"-"&amp;$D39,Import!$C:$H,3,FALSE))</f>
        <v/>
      </c>
      <c r="Q39" s="921" t="str">
        <f>IF(VLOOKUP($C$3&amp;"-"&amp;$D39,Import!$C:$H,4,FALSE)=0,"",VLOOKUP($C$3&amp;"-"&amp;$D39,Import!$C:$H,4,FALSE))</f>
        <v/>
      </c>
      <c r="R39" s="921" t="str">
        <f>IF(VLOOKUP($C$3&amp;"-"&amp;$D39,Import!$C:$H,5,FALSE)=0,"",VLOOKUP($C$3&amp;"-"&amp;$D39,Import!$C:$H,5,FALSE))</f>
        <v/>
      </c>
      <c r="S39" s="922" t="str">
        <f>IF(VLOOKUP($C$3&amp;"-"&amp;$D39,Import!$C:$H,6,FALSE)=0,"",VLOOKUP($C$3&amp;"-"&amp;$D39,Import!$C:$H,6,FALSE))</f>
        <v/>
      </c>
      <c r="T39" s="189"/>
      <c r="U39" s="135"/>
      <c r="V39" s="278"/>
    </row>
    <row r="40" spans="1:22" s="296" customFormat="1" ht="60" customHeight="1" x14ac:dyDescent="0.25">
      <c r="A40" s="305"/>
      <c r="B40" s="1199"/>
      <c r="C40" s="1212"/>
      <c r="D40" s="294" t="s">
        <v>19</v>
      </c>
      <c r="E40" s="468" t="str">
        <f>IF(VLOOKUP(CONCATENATE($C$3,"-",$D40),Languages!$A:$D,1,TRUE)=CONCATENATE($C$3,"-",$D40),VLOOKUP(CONCATENATE($C$3,"-",$D40),Languages!$A:$D,Summary!$C$7,TRUE),NA())</f>
        <v>Rekisteriin kirjatut tietovarannot on priorisoitu noudattaen määriteltyjä priorisointikriteerejä, joihin kuuluu arviointi tietovarannon tärkeydestä toiminnolle.</v>
      </c>
      <c r="F40" s="287">
        <f t="shared" si="1"/>
        <v>0</v>
      </c>
      <c r="G40" s="307" t="s">
        <v>2542</v>
      </c>
      <c r="H40" s="443"/>
      <c r="I40" s="443"/>
      <c r="J40" s="443"/>
      <c r="K40" s="452"/>
      <c r="L40" s="189"/>
      <c r="M40" s="135"/>
      <c r="N40" s="157"/>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89"/>
      <c r="U40" s="135"/>
      <c r="V40" s="278"/>
    </row>
    <row r="41" spans="1:22" s="296" customFormat="1" ht="45" customHeight="1" x14ac:dyDescent="0.25">
      <c r="A41" s="305"/>
      <c r="B41" s="1199"/>
      <c r="C41" s="1212"/>
      <c r="D41" s="294" t="s">
        <v>20</v>
      </c>
      <c r="E41" s="468" t="str">
        <f>IF(VLOOKUP(CONCATENATE($C$3,"-",$D41),Languages!$A:$D,1,TRUE)=CONCATENATE($C$3,"-",$D41),VLOOKUP(CONCATENATE($C$3,"-",$D41),Languages!$A:$D,Summary!$C$7,TRUE),NA())</f>
        <v xml:space="preserve">Luokittelukriteereissä huomioidaan missä laajuudessa hyökkääjä voisi käyttää tietovarantoa tavoitteensa (tietovuoto, toiminnan keskeytys jne) saavuttamiseen. </v>
      </c>
      <c r="F41" s="287">
        <f t="shared" si="1"/>
        <v>0</v>
      </c>
      <c r="G41" s="307" t="s">
        <v>2542</v>
      </c>
      <c r="H41" s="443"/>
      <c r="I41" s="443"/>
      <c r="J41" s="443"/>
      <c r="K41" s="452"/>
      <c r="L41" s="189"/>
      <c r="M41" s="135"/>
      <c r="N41" s="157"/>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89"/>
      <c r="U41" s="135"/>
      <c r="V41" s="278"/>
    </row>
    <row r="42" spans="1:22" s="296" customFormat="1" ht="34.950000000000003" customHeight="1" x14ac:dyDescent="0.25">
      <c r="A42" s="305"/>
      <c r="B42" s="1199"/>
      <c r="C42" s="1208"/>
      <c r="D42" s="396" t="s">
        <v>21</v>
      </c>
      <c r="E42" s="474" t="str">
        <f>IF(VLOOKUP(CONCATENATE($C$3,"-",$D42),Languages!$A:$D,1,TRUE)=CONCATENATE($C$3,"-",$D42),VLOOKUP(CONCATENATE($C$3,"-",$D42),Languages!$A:$D,Summary!$C$7,TRUE),NA())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42" s="393">
        <f t="shared" si="1"/>
        <v>0</v>
      </c>
      <c r="G42" s="449" t="s">
        <v>2542</v>
      </c>
      <c r="H42" s="444"/>
      <c r="I42" s="444"/>
      <c r="J42" s="444"/>
      <c r="K42" s="453"/>
      <c r="L42" s="189"/>
      <c r="M42" s="135"/>
      <c r="N42" s="157"/>
      <c r="O42" s="897" t="str">
        <f>VLOOKUP(VLOOKUP($C$3&amp;"-"&amp;$D42,Import!$C:$D,2,FALSE),Parameters!$C$18:$F$22,Summary!$C$7,FALSE)</f>
        <v xml:space="preserve">0 - Vastaus puuttuu </v>
      </c>
      <c r="P42" s="923" t="str">
        <f>IF(VLOOKUP($C$3&amp;"-"&amp;$D42,Import!$C:$H,3,FALSE)=0,"",VLOOKUP($C$3&amp;"-"&amp;$D42,Import!$C:$H,3,FALSE))</f>
        <v/>
      </c>
      <c r="Q42" s="923" t="str">
        <f>IF(VLOOKUP($C$3&amp;"-"&amp;$D42,Import!$C:$H,4,FALSE)=0,"",VLOOKUP($C$3&amp;"-"&amp;$D42,Import!$C:$H,4,FALSE))</f>
        <v/>
      </c>
      <c r="R42" s="923" t="str">
        <f>IF(VLOOKUP($C$3&amp;"-"&amp;$D42,Import!$C:$H,5,FALSE)=0,"",VLOOKUP($C$3&amp;"-"&amp;$D42,Import!$C:$H,5,FALSE))</f>
        <v/>
      </c>
      <c r="S42" s="924" t="str">
        <f>IF(VLOOKUP($C$3&amp;"-"&amp;$D42,Import!$C:$H,6,FALSE)=0,"",VLOOKUP($C$3&amp;"-"&amp;$D42,Import!$C:$H,6,FALSE))</f>
        <v/>
      </c>
      <c r="T42" s="189"/>
      <c r="U42" s="135"/>
      <c r="V42" s="278"/>
    </row>
    <row r="43" spans="1:22" s="296" customFormat="1" ht="34.950000000000003" customHeight="1" x14ac:dyDescent="0.25">
      <c r="A43" s="305"/>
      <c r="B43" s="1199"/>
      <c r="C43" s="1209">
        <v>3</v>
      </c>
      <c r="D43" s="395" t="s">
        <v>103</v>
      </c>
      <c r="E43" s="467" t="str">
        <f>IF(VLOOKUP(CONCATENATE($C$3,"-",$D43),Languages!$A:$D,1,TRUE)=CONCATENATE($C$3,"-",$D43),VLOOKUP(CONCATENATE($C$3,"-",$D43),Languages!$A:$D,Summary!$C$7,TRUE),NA())</f>
        <v>Tietovarantojen rekisteri on täydellinen (eli rekisteri kattaa kaikki toiminnon tietovarannot).</v>
      </c>
      <c r="F43" s="386">
        <f t="shared" si="1"/>
        <v>0</v>
      </c>
      <c r="G43" s="445" t="s">
        <v>2542</v>
      </c>
      <c r="H43" s="442"/>
      <c r="I43" s="442"/>
      <c r="J43" s="442"/>
      <c r="K43" s="451"/>
      <c r="L43" s="189"/>
      <c r="M43" s="135"/>
      <c r="N43" s="157"/>
      <c r="O43" s="913" t="str">
        <f>VLOOKUP(VLOOKUP($C$3&amp;"-"&amp;$D43,Import!$C:$D,2,FALSE),Parameters!$C$18:$F$22,Summary!$C$7,FALSE)</f>
        <v xml:space="preserve">0 - Vastaus puuttuu </v>
      </c>
      <c r="P43" s="947" t="str">
        <f>IF(VLOOKUP($C$3&amp;"-"&amp;$D43,Import!$C:$H,3,FALSE)=0,"",VLOOKUP($C$3&amp;"-"&amp;$D43,Import!$C:$H,3,FALSE))</f>
        <v/>
      </c>
      <c r="Q43" s="947" t="str">
        <f>IF(VLOOKUP($C$3&amp;"-"&amp;$D43,Import!$C:$H,4,FALSE)=0,"",VLOOKUP($C$3&amp;"-"&amp;$D43,Import!$C:$H,4,FALSE))</f>
        <v/>
      </c>
      <c r="R43" s="947" t="str">
        <f>IF(VLOOKUP($C$3&amp;"-"&amp;$D43,Import!$C:$H,5,FALSE)=0,"",VLOOKUP($C$3&amp;"-"&amp;$D43,Import!$C:$H,5,FALSE))</f>
        <v/>
      </c>
      <c r="S43" s="948" t="str">
        <f>IF(VLOOKUP($C$3&amp;"-"&amp;$D43,Import!$C:$H,6,FALSE)=0,"",VLOOKUP($C$3&amp;"-"&amp;$D43,Import!$C:$H,6,FALSE))</f>
        <v/>
      </c>
      <c r="T43" s="189"/>
      <c r="U43" s="135"/>
      <c r="V43" s="278"/>
    </row>
    <row r="44" spans="1:22" s="296" customFormat="1" ht="34.950000000000003" customHeight="1" x14ac:dyDescent="0.25">
      <c r="A44" s="305"/>
      <c r="B44" s="380"/>
      <c r="C44" s="1210"/>
      <c r="D44" s="294" t="s">
        <v>165</v>
      </c>
      <c r="E44" s="468" t="str">
        <f>IF(VLOOKUP(CONCATENATE($C$3,"-",$D44),Languages!$A:$D,1,TRUE)=CONCATENATE($C$3,"-",$D44),VLOOKUP(CONCATENATE($C$3,"-",$D44),Languages!$A:$D,Summary!$C$7,TRUE),NA())</f>
        <v>Rekisteri on ajan tasalla (eli rekisteriä päivitetään aika ajoin ja määriteltyjen tilanteiden kuten järjestelmämuutosten yhteydessä).</v>
      </c>
      <c r="F44" s="287">
        <f t="shared" si="1"/>
        <v>0</v>
      </c>
      <c r="G44" s="307" t="s">
        <v>2542</v>
      </c>
      <c r="H44" s="443"/>
      <c r="I44" s="443"/>
      <c r="J44" s="443"/>
      <c r="K44" s="452"/>
      <c r="L44" s="189"/>
      <c r="M44" s="135"/>
      <c r="N44" s="157"/>
      <c r="O44" s="892" t="str">
        <f>VLOOKUP(VLOOKUP($C$3&amp;"-"&amp;$D44,Import!$C:$D,2,FALSE),Parameters!$C$18:$F$22,Summary!$C$7,FALSE)</f>
        <v xml:space="preserve">0 - Vastaus puuttuu </v>
      </c>
      <c r="P44" s="916" t="str">
        <f>IF(VLOOKUP($C$3&amp;"-"&amp;$D44,Import!$C:$H,3,FALSE)=0,"",VLOOKUP($C$3&amp;"-"&amp;$D44,Import!$C:$H,3,FALSE))</f>
        <v/>
      </c>
      <c r="Q44" s="916" t="str">
        <f>IF(VLOOKUP($C$3&amp;"-"&amp;$D44,Import!$C:$H,4,FALSE)=0,"",VLOOKUP($C$3&amp;"-"&amp;$D44,Import!$C:$H,4,FALSE))</f>
        <v/>
      </c>
      <c r="R44" s="916" t="str">
        <f>IF(VLOOKUP($C$3&amp;"-"&amp;$D44,Import!$C:$H,5,FALSE)=0,"",VLOOKUP($C$3&amp;"-"&amp;$D44,Import!$C:$H,5,FALSE))</f>
        <v/>
      </c>
      <c r="S44" s="917" t="str">
        <f>IF(VLOOKUP($C$3&amp;"-"&amp;$D44,Import!$C:$H,6,FALSE)=0,"",VLOOKUP($C$3&amp;"-"&amp;$D44,Import!$C:$H,6,FALSE))</f>
        <v/>
      </c>
      <c r="T44" s="189"/>
      <c r="U44" s="135"/>
      <c r="V44" s="278"/>
    </row>
    <row r="45" spans="1:22" s="296" customFormat="1" ht="45" customHeight="1" x14ac:dyDescent="0.25">
      <c r="A45" s="305"/>
      <c r="B45" s="380"/>
      <c r="C45" s="1211"/>
      <c r="D45" s="396" t="s">
        <v>167</v>
      </c>
      <c r="E45" s="474" t="str">
        <f>IF(VLOOKUP(CONCATENATE($C$3,"-",$D45),Languages!$A:$D,1,TRUE)=CONCATENATE($C$3,"-",$D45),VLOOKUP(CONCATENATE($C$3,"-",$D45),Languages!$A:$D,Summary!$C$7,TRUE),NA())</f>
        <v>Tietovarannot poistetaan, ylikirjoitetaan tai tuhotaan elinkaaren lopussa käyttäen turvallisuusvaatimusten mukaisia menetelmiä. (huomioidaan mm. tiedon suojaustaso)</v>
      </c>
      <c r="F45" s="393">
        <f t="shared" si="1"/>
        <v>0</v>
      </c>
      <c r="G45" s="449" t="s">
        <v>2542</v>
      </c>
      <c r="H45" s="444"/>
      <c r="I45" s="444"/>
      <c r="J45" s="444"/>
      <c r="K45" s="453"/>
      <c r="L45" s="189"/>
      <c r="M45" s="135"/>
      <c r="N45" s="157"/>
      <c r="O45" s="897" t="str">
        <f>VLOOKUP(VLOOKUP($C$3&amp;"-"&amp;$D45,Import!$C:$D,2,FALSE),Parameters!$C$18:$F$22,Summary!$C$7,FALSE)</f>
        <v xml:space="preserve">0 - Vastaus puuttuu </v>
      </c>
      <c r="P45" s="923" t="str">
        <f>IF(VLOOKUP($C$3&amp;"-"&amp;$D45,Import!$C:$H,3,FALSE)=0,"",VLOOKUP($C$3&amp;"-"&amp;$D45,Import!$C:$H,3,FALSE))</f>
        <v/>
      </c>
      <c r="Q45" s="923" t="str">
        <f>IF(VLOOKUP($C$3&amp;"-"&amp;$D45,Import!$C:$H,4,FALSE)=0,"",VLOOKUP($C$3&amp;"-"&amp;$D45,Import!$C:$H,4,FALSE))</f>
        <v/>
      </c>
      <c r="R45" s="923" t="str">
        <f>IF(VLOOKUP($C$3&amp;"-"&amp;$D45,Import!$C:$H,5,FALSE)=0,"",VLOOKUP($C$3&amp;"-"&amp;$D45,Import!$C:$H,5,FALSE))</f>
        <v/>
      </c>
      <c r="S45" s="924" t="str">
        <f>IF(VLOOKUP($C$3&amp;"-"&amp;$D45,Import!$C:$H,6,FALSE)=0,"",VLOOKUP($C$3&amp;"-"&amp;$D45,Import!$C:$H,6,FALSE))</f>
        <v/>
      </c>
      <c r="T45" s="189"/>
      <c r="U45" s="135"/>
      <c r="V45" s="278"/>
    </row>
    <row r="46" spans="1:22" s="177" customFormat="1" ht="30" customHeight="1" x14ac:dyDescent="0.25">
      <c r="A46" s="166"/>
      <c r="B46" s="269"/>
      <c r="C46" s="170">
        <v>3</v>
      </c>
      <c r="D46" s="170" t="str">
        <f>IF(VLOOKUP(CONCATENATE($C$3,"-",C46),Languages!$A:$D,1,TRUE)=CONCATENATE($C$3,"-",C46),VLOOKUP(CONCATENATE($C$3,"-",C46),Languages!$A:$D,Summary!$C$7,TRUE),NA())</f>
        <v>Konfiguraation hallinta</v>
      </c>
      <c r="E46" s="170"/>
      <c r="F46" s="293"/>
      <c r="G46" s="907"/>
      <c r="H46" s="929"/>
      <c r="I46" s="929"/>
      <c r="J46" s="929"/>
      <c r="K46" s="929"/>
      <c r="L46" s="189"/>
      <c r="M46" s="135"/>
      <c r="N46" s="157"/>
      <c r="O46" s="292"/>
      <c r="P46" s="293"/>
      <c r="Q46" s="293"/>
      <c r="R46" s="293"/>
      <c r="S46" s="293"/>
      <c r="T46" s="189"/>
      <c r="U46" s="135"/>
      <c r="V46" s="278"/>
    </row>
    <row r="47" spans="1:22" s="285" customFormat="1" ht="19.95" customHeight="1" x14ac:dyDescent="0.2">
      <c r="A47" s="304"/>
      <c r="B47" s="279"/>
      <c r="C47" s="280" t="str">
        <f>IF(VLOOKUP("GEN-LEVEL",Languages!$A:$D,1,TRUE)="GEN-LEVEL",VLOOKUP("GEN-LEVEL",Languages!$A:$D,Summary!$C$7,TRUE),NA())</f>
        <v>Taso</v>
      </c>
      <c r="D47" s="280"/>
      <c r="E47" s="281" t="str">
        <f>IF(VLOOKUP("GEN-PRACTICE",Languages!$A:$D,1,TRUE)="GEN-PRACTICE",VLOOKUP("GEN-PRACTICE",Languages!$A:$D,Summary!$C$7,TRUE),NA())</f>
        <v>Käytäntö</v>
      </c>
      <c r="F47" s="282"/>
      <c r="G47" s="904" t="str">
        <f>IF(VLOOKUP("GEN-ANSWER",Languages!$A:$D,1,TRUE)="GEN-ANSWER",VLOOKUP("GEN-ANSWER",Languages!$A:$D,Summary!$C$7,TRUE),NA())</f>
        <v>Vastaus</v>
      </c>
      <c r="H47" s="905" t="str">
        <f>IF(VLOOKUP("KM112",Languages!$A:$D,1,TRUE)="KM112",VLOOKUP("KM112",Languages!$A:$D,Summary!$C$7,TRUE),NA())</f>
        <v>Kommentit</v>
      </c>
      <c r="I47" s="905" t="str">
        <f>IF(VLOOKUP("KM113",Languages!$A:$D,1,TRUE)="KM113",VLOOKUP("KM113",Languages!$A:$D,Summary!$C$7,TRUE),NA())</f>
        <v>Sisäinen viittaus</v>
      </c>
      <c r="J47" s="905" t="str">
        <f>IF(VLOOKUP("KM114",Languages!$A:$D,1,TRUE)="KM114",VLOOKUP("KM114",Languages!$A:$D,Summary!$C$7,TRUE),NA())</f>
        <v>Ulkoinen viittaus</v>
      </c>
      <c r="K47" s="905" t="str">
        <f>IF(VLOOKUP("KM115",Languages!$A:$D,1,TRUE)="KM115",VLOOKUP("KM115",Languages!$A:$D,Summary!$C$7,TRUE),NA())</f>
        <v>Kehityskohde</v>
      </c>
      <c r="L47" s="283"/>
      <c r="M47" s="284"/>
      <c r="N47" s="279"/>
      <c r="O47" s="463" t="str">
        <f>IF(VLOOKUP("GEN-ANSWER",Languages!$A:$D,1,TRUE)="GEN-ANSWER",VLOOKUP("GEN-ANSWER",Languages!$A:$D,Summary!$C$7,TRUE),NA())</f>
        <v>Vastaus</v>
      </c>
      <c r="P47" s="463" t="str">
        <f>IF(VLOOKUP("KM112",Languages!$A:$D,1,TRUE)="KM112",VLOOKUP("KM112",Languages!$A:$D,Summary!$C$7,TRUE),NA())</f>
        <v>Kommentit</v>
      </c>
      <c r="Q47" s="463" t="str">
        <f>IF(VLOOKUP("KM113",Languages!$A:$D,1,TRUE)="KM113",VLOOKUP("KM113",Languages!$A:$D,Summary!$C$7,TRUE),NA())</f>
        <v>Sisäinen viittaus</v>
      </c>
      <c r="R47" s="463" t="str">
        <f>IF(VLOOKUP("KM114",Languages!$A:$D,1,TRUE)="KM114",VLOOKUP("KM114",Languages!$A:$D,Summary!$C$7,TRUE),NA())</f>
        <v>Ulkoinen viittaus</v>
      </c>
      <c r="S47" s="463" t="str">
        <f>IF(VLOOKUP("KM115",Languages!$A:$D,1,TRUE)="KM115",VLOOKUP("KM115",Languages!$A:$D,Summary!$C$7,TRUE),NA())</f>
        <v>Kehityskohde</v>
      </c>
      <c r="T47" s="283"/>
      <c r="U47" s="284"/>
    </row>
    <row r="48" spans="1:22" s="296" customFormat="1" ht="45" customHeight="1" x14ac:dyDescent="0.25">
      <c r="A48" s="305"/>
      <c r="B48" s="1199"/>
      <c r="C48" s="523">
        <v>1</v>
      </c>
      <c r="D48" s="399" t="s">
        <v>22</v>
      </c>
      <c r="E48" s="466" t="str">
        <f>IF(VLOOKUP(CONCATENATE($C$3,"-",$D48),Languages!$A:$D,1,TRUE)=CONCATENATE($C$3,"-",$D48),VLOOKUP(CONCATENATE($C$3,"-",$D48),Languages!$A:$D,Summary!$C$7,TRUE),NA())</f>
        <v>Laitteiden, ohjelmistojen ja tietovarantojen konfiguraatioista on luotu vakioidut perusasetukset. Tasolla 1 tämän ei tarvitse olla systemaattista ja säännöllistä.</v>
      </c>
      <c r="F48" s="391">
        <f t="shared" ref="F48:F52" si="2">IFERROR(INT(LEFT($G48,1)),0)</f>
        <v>0</v>
      </c>
      <c r="G48" s="456" t="s">
        <v>2542</v>
      </c>
      <c r="H48" s="486"/>
      <c r="I48" s="486"/>
      <c r="J48" s="486"/>
      <c r="K48" s="487"/>
      <c r="L48" s="189"/>
      <c r="M48" s="135"/>
      <c r="N48" s="157"/>
      <c r="O48" s="886" t="str">
        <f>VLOOKUP(VLOOKUP($C$3&amp;"-"&amp;$D48,Import!$C:$D,2,FALSE),Parameters!$C$18:$F$22,Summary!$C$7,FALSE)</f>
        <v xml:space="preserve">0 - Vastaus puuttuu </v>
      </c>
      <c r="P48" s="911" t="str">
        <f>IF(VLOOKUP($C$3&amp;"-"&amp;$D48,Import!$C:$H,3,FALSE)=0,"",VLOOKUP($C$3&amp;"-"&amp;$D48,Import!$C:$H,3,FALSE))</f>
        <v/>
      </c>
      <c r="Q48" s="911" t="str">
        <f>IF(VLOOKUP($C$3&amp;"-"&amp;$D48,Import!$C:$H,4,FALSE)=0,"",VLOOKUP($C$3&amp;"-"&amp;$D48,Import!$C:$H,4,FALSE))</f>
        <v/>
      </c>
      <c r="R48" s="911" t="str">
        <f>IF(VLOOKUP($C$3&amp;"-"&amp;$D48,Import!$C:$H,5,FALSE)=0,"",VLOOKUP($C$3&amp;"-"&amp;$D48,Import!$C:$H,5,FALSE))</f>
        <v/>
      </c>
      <c r="S48" s="912" t="str">
        <f>IF(VLOOKUP($C$3&amp;"-"&amp;$D48,Import!$C:$H,6,FALSE)=0,"",VLOOKUP($C$3&amp;"-"&amp;$D48,Import!$C:$H,6,FALSE))</f>
        <v/>
      </c>
      <c r="T48" s="189"/>
      <c r="U48" s="135"/>
      <c r="V48" s="278"/>
    </row>
    <row r="49" spans="1:22" s="296" customFormat="1" ht="45" customHeight="1" x14ac:dyDescent="0.25">
      <c r="A49" s="305"/>
      <c r="B49" s="1199"/>
      <c r="C49" s="1207">
        <v>2</v>
      </c>
      <c r="D49" s="399" t="s">
        <v>23</v>
      </c>
      <c r="E49" s="466" t="str">
        <f>IF(VLOOKUP(CONCATENATE($C$3,"-",$D49),Languages!$A:$D,1,TRUE)=CONCATENATE($C$3,"-",$D49),VLOOKUP(CONCATENATE($C$3,"-",$D49),Languages!$A:$D,Summary!$C$7,TRUE),NA())</f>
        <v>Vakioituja perusasetuksia käytetään, kun laitteille, ohjelmistoille tai tietovarannoille luodaan uusi konfiguraatio tai palautetaan vanha konfiguraatio.</v>
      </c>
      <c r="F49" s="391">
        <f t="shared" si="2"/>
        <v>0</v>
      </c>
      <c r="G49" s="456" t="s">
        <v>2542</v>
      </c>
      <c r="H49" s="454"/>
      <c r="I49" s="454"/>
      <c r="J49" s="454"/>
      <c r="K49" s="455"/>
      <c r="L49" s="189"/>
      <c r="M49" s="135"/>
      <c r="N49" s="157"/>
      <c r="O49" s="886" t="str">
        <f>VLOOKUP(VLOOKUP($C$3&amp;"-"&amp;$D49,Import!$C:$D,2,FALSE),Parameters!$C$18:$F$22,Summary!$C$7,FALSE)</f>
        <v xml:space="preserve">0 - Vastaus puuttuu </v>
      </c>
      <c r="P49" s="925" t="str">
        <f>IF(VLOOKUP($C$3&amp;"-"&amp;$D49,Import!$C:$H,3,FALSE)=0,"",VLOOKUP($C$3&amp;"-"&amp;$D49,Import!$C:$H,3,FALSE))</f>
        <v/>
      </c>
      <c r="Q49" s="925" t="str">
        <f>IF(VLOOKUP($C$3&amp;"-"&amp;$D49,Import!$C:$H,4,FALSE)=0,"",VLOOKUP($C$3&amp;"-"&amp;$D49,Import!$C:$H,4,FALSE))</f>
        <v/>
      </c>
      <c r="R49" s="925" t="str">
        <f>IF(VLOOKUP($C$3&amp;"-"&amp;$D49,Import!$C:$H,5,FALSE)=0,"",VLOOKUP($C$3&amp;"-"&amp;$D49,Import!$C:$H,5,FALSE))</f>
        <v/>
      </c>
      <c r="S49" s="926" t="str">
        <f>IF(VLOOKUP($C$3&amp;"-"&amp;$D49,Import!$C:$H,6,FALSE)=0,"",VLOOKUP($C$3&amp;"-"&amp;$D49,Import!$C:$H,6,FALSE))</f>
        <v/>
      </c>
      <c r="T49" s="189"/>
      <c r="U49" s="135"/>
      <c r="V49" s="278"/>
    </row>
    <row r="50" spans="1:22" s="296" customFormat="1" ht="34.950000000000003" customHeight="1" x14ac:dyDescent="0.25">
      <c r="A50" s="305"/>
      <c r="B50" s="1199"/>
      <c r="C50" s="1212"/>
      <c r="D50" s="395" t="s">
        <v>24</v>
      </c>
      <c r="E50" s="467" t="str">
        <f>IF(VLOOKUP(CONCATENATE($C$3,"-",$D50),Languages!$A:$D,1,TRUE)=CONCATENATE($C$3,"-",$D50),VLOOKUP(CONCATENATE($C$3,"-",$D50),Languages!$A:$D,Summary!$C$7,TRUE),NA())</f>
        <v>Vakioidut perusasetukset sisältävät soveltuvilta osin organisaation kyberarkkitehtuurissa määritellyt vaatimukset [kts. ARCHITECTURE-1f].</v>
      </c>
      <c r="F50" s="386">
        <f t="shared" si="2"/>
        <v>0</v>
      </c>
      <c r="G50" s="445" t="s">
        <v>2542</v>
      </c>
      <c r="H50" s="442"/>
      <c r="I50" s="442"/>
      <c r="J50" s="442"/>
      <c r="K50" s="451"/>
      <c r="L50" s="189"/>
      <c r="M50" s="135"/>
      <c r="N50" s="157"/>
      <c r="O50" s="889" t="str">
        <f>VLOOKUP(VLOOKUP($C$3&amp;"-"&amp;$D50,Import!$C:$D,2,FALSE),Parameters!$C$18:$F$22,Summary!$C$7,FALSE)</f>
        <v xml:space="preserve">0 - Vastaus puuttuu </v>
      </c>
      <c r="P50" s="921" t="str">
        <f>IF(VLOOKUP($C$3&amp;"-"&amp;$D50,Import!$C:$H,3,FALSE)=0,"",VLOOKUP($C$3&amp;"-"&amp;$D50,Import!$C:$H,3,FALSE))</f>
        <v/>
      </c>
      <c r="Q50" s="921" t="str">
        <f>IF(VLOOKUP($C$3&amp;"-"&amp;$D50,Import!$C:$H,4,FALSE)=0,"",VLOOKUP($C$3&amp;"-"&amp;$D50,Import!$C:$H,4,FALSE))</f>
        <v/>
      </c>
      <c r="R50" s="921" t="str">
        <f>IF(VLOOKUP($C$3&amp;"-"&amp;$D50,Import!$C:$H,5,FALSE)=0,"",VLOOKUP($C$3&amp;"-"&amp;$D50,Import!$C:$H,5,FALSE))</f>
        <v/>
      </c>
      <c r="S50" s="922" t="str">
        <f>IF(VLOOKUP($C$3&amp;"-"&amp;$D50,Import!$C:$H,6,FALSE)=0,"",VLOOKUP($C$3&amp;"-"&amp;$D50,Import!$C:$H,6,FALSE))</f>
        <v/>
      </c>
      <c r="T50" s="189"/>
      <c r="U50" s="135"/>
      <c r="V50" s="278"/>
    </row>
    <row r="51" spans="1:22" s="296" customFormat="1" ht="51" customHeight="1" x14ac:dyDescent="0.25">
      <c r="A51" s="305"/>
      <c r="B51" s="1199"/>
      <c r="C51" s="1208"/>
      <c r="D51" s="396" t="s">
        <v>25</v>
      </c>
      <c r="E51" s="474" t="str">
        <f>IF(VLOOKUP(CONCATENATE($C$3,"-",$D51),Languages!$A:$D,1,TRUE)=CONCATENATE($C$3,"-",$D51),VLOOKUP(CONCATENATE($C$3,"-",$D51),Languages!$A:$D,Summary!$C$7,TRUE),NA())</f>
        <v>Perusasetuksia katselmoidaan ja päivitetään säännöllisesti ja ja määriteltyjen tilanteiden kuten järjestelmämuutosten tai kyberarkkitehtuurin muutosten yhteydessä.</v>
      </c>
      <c r="F51" s="393">
        <f t="shared" si="2"/>
        <v>0</v>
      </c>
      <c r="G51" s="449" t="s">
        <v>2542</v>
      </c>
      <c r="H51" s="444"/>
      <c r="I51" s="444"/>
      <c r="J51" s="444"/>
      <c r="K51" s="453"/>
      <c r="L51" s="189"/>
      <c r="M51" s="135"/>
      <c r="N51" s="157"/>
      <c r="O51" s="897" t="str">
        <f>VLOOKUP(VLOOKUP($C$3&amp;"-"&amp;$D51,Import!$C:$D,2,FALSE),Parameters!$C$18:$F$22,Summary!$C$7,FALSE)</f>
        <v xml:space="preserve">0 - Vastaus puuttuu </v>
      </c>
      <c r="P51" s="923" t="str">
        <f>IF(VLOOKUP($C$3&amp;"-"&amp;$D51,Import!$C:$H,3,FALSE)=0,"",VLOOKUP($C$3&amp;"-"&amp;$D51,Import!$C:$H,3,FALSE))</f>
        <v/>
      </c>
      <c r="Q51" s="923" t="str">
        <f>IF(VLOOKUP($C$3&amp;"-"&amp;$D51,Import!$C:$H,4,FALSE)=0,"",VLOOKUP($C$3&amp;"-"&amp;$D51,Import!$C:$H,4,FALSE))</f>
        <v/>
      </c>
      <c r="R51" s="923" t="str">
        <f>IF(VLOOKUP($C$3&amp;"-"&amp;$D51,Import!$C:$H,5,FALSE)=0,"",VLOOKUP($C$3&amp;"-"&amp;$D51,Import!$C:$H,5,FALSE))</f>
        <v/>
      </c>
      <c r="S51" s="924" t="str">
        <f>IF(VLOOKUP($C$3&amp;"-"&amp;$D51,Import!$C:$H,6,FALSE)=0,"",VLOOKUP($C$3&amp;"-"&amp;$D51,Import!$C:$H,6,FALSE))</f>
        <v/>
      </c>
      <c r="T51" s="189"/>
      <c r="U51" s="135"/>
      <c r="V51" s="278"/>
    </row>
    <row r="52" spans="1:22" s="296" customFormat="1" ht="45" customHeight="1" x14ac:dyDescent="0.25">
      <c r="A52" s="305"/>
      <c r="B52" s="1199"/>
      <c r="C52" s="1014">
        <v>3</v>
      </c>
      <c r="D52" s="1052" t="s">
        <v>26</v>
      </c>
      <c r="E52" s="1051" t="str">
        <f>IF(VLOOKUP(CONCATENATE($C$3,"-",$D52),Languages!$A:$D,1,TRUE)=CONCATENATE($C$3,"-",$D52),VLOOKUP(CONCATENATE($C$3,"-",$D52),Languages!$A:$D,Summary!$C$7,TRUE),NA())</f>
        <v>Konfiguraatioiden yhdenmukaisuutta vakioituihin perusasetuksiin seurataan säännöllisesti koko laitteen, ohjelmiston tai tietovarannon elinkaaren ajan.</v>
      </c>
      <c r="F52" s="1057">
        <f t="shared" si="2"/>
        <v>0</v>
      </c>
      <c r="G52" s="492" t="s">
        <v>2542</v>
      </c>
      <c r="H52" s="1053"/>
      <c r="I52" s="1053"/>
      <c r="J52" s="1053"/>
      <c r="K52" s="1054"/>
      <c r="L52" s="189"/>
      <c r="M52" s="135"/>
      <c r="N52" s="157"/>
      <c r="O52" s="946" t="str">
        <f>VLOOKUP(VLOOKUP($C$3&amp;"-"&amp;$D52,Import!$C:$D,2,FALSE),Parameters!$C$18:$F$22,Summary!$C$7,FALSE)</f>
        <v xml:space="preserve">0 - Vastaus puuttuu </v>
      </c>
      <c r="P52" s="1055" t="str">
        <f>IF(VLOOKUP($C$3&amp;"-"&amp;$D52,Import!$C:$H,3,FALSE)=0,"",VLOOKUP($C$3&amp;"-"&amp;$D52,Import!$C:$H,3,FALSE))</f>
        <v/>
      </c>
      <c r="Q52" s="1055" t="str">
        <f>IF(VLOOKUP($C$3&amp;"-"&amp;$D52,Import!$C:$H,4,FALSE)=0,"",VLOOKUP($C$3&amp;"-"&amp;$D52,Import!$C:$H,4,FALSE))</f>
        <v/>
      </c>
      <c r="R52" s="1055" t="str">
        <f>IF(VLOOKUP($C$3&amp;"-"&amp;$D52,Import!$C:$H,5,FALSE)=0,"",VLOOKUP($C$3&amp;"-"&amp;$D52,Import!$C:$H,5,FALSE))</f>
        <v/>
      </c>
      <c r="S52" s="1056" t="str">
        <f>IF(VLOOKUP($C$3&amp;"-"&amp;$D52,Import!$C:$H,6,FALSE)=0,"",VLOOKUP($C$3&amp;"-"&amp;$D52,Import!$C:$H,6,FALSE))</f>
        <v/>
      </c>
      <c r="T52" s="189"/>
      <c r="U52" s="135"/>
      <c r="V52" s="278"/>
    </row>
    <row r="53" spans="1:22" s="177" customFormat="1" ht="30" customHeight="1" x14ac:dyDescent="0.25">
      <c r="A53" s="166"/>
      <c r="B53" s="269"/>
      <c r="C53" s="170">
        <v>4</v>
      </c>
      <c r="D53" s="170" t="str">
        <f>IF(VLOOKUP(CONCATENATE($C$3,"-",C53),Languages!$A:$D,1,TRUE)=CONCATENATE($C$3,"-",C53),VLOOKUP(CONCATENATE($C$3,"-",C53),Languages!$A:$D,Summary!$C$7,TRUE),NA())</f>
        <v>Muutoksenhallinta</v>
      </c>
      <c r="E53" s="170"/>
      <c r="F53" s="293"/>
      <c r="G53" s="907"/>
      <c r="H53" s="929"/>
      <c r="I53" s="929"/>
      <c r="J53" s="929"/>
      <c r="K53" s="929"/>
      <c r="L53" s="189"/>
      <c r="M53" s="135"/>
      <c r="N53" s="157"/>
      <c r="O53" s="292"/>
      <c r="P53" s="293"/>
      <c r="Q53" s="293"/>
      <c r="R53" s="293"/>
      <c r="S53" s="293"/>
      <c r="T53" s="189"/>
      <c r="U53" s="135"/>
      <c r="V53" s="278"/>
    </row>
    <row r="54" spans="1:22" s="285" customFormat="1" ht="19.95" customHeight="1" x14ac:dyDescent="0.2">
      <c r="A54" s="304"/>
      <c r="B54" s="279"/>
      <c r="C54" s="280" t="str">
        <f>IF(VLOOKUP("GEN-LEVEL",Languages!$A:$D,1,TRUE)="GEN-LEVEL",VLOOKUP("GEN-LEVEL",Languages!$A:$D,Summary!$C$7,TRUE),NA())</f>
        <v>Taso</v>
      </c>
      <c r="D54" s="280"/>
      <c r="E54" s="281" t="str">
        <f>IF(VLOOKUP("GEN-PRACTICE",Languages!$A:$D,1,TRUE)="GEN-PRACTICE",VLOOKUP("GEN-PRACTICE",Languages!$A:$D,Summary!$C$7,TRUE),NA())</f>
        <v>Käytäntö</v>
      </c>
      <c r="F54" s="282"/>
      <c r="G54" s="904" t="str">
        <f>IF(VLOOKUP("GEN-ANSWER",Languages!$A:$D,1,TRUE)="GEN-ANSWER",VLOOKUP("GEN-ANSWER",Languages!$A:$D,Summary!$C$7,TRUE),NA())</f>
        <v>Vastaus</v>
      </c>
      <c r="H54" s="905" t="str">
        <f>IF(VLOOKUP("KM112",Languages!$A:$D,1,TRUE)="KM112",VLOOKUP("KM112",Languages!$A:$D,Summary!$C$7,TRUE),NA())</f>
        <v>Kommentit</v>
      </c>
      <c r="I54" s="905" t="str">
        <f>IF(VLOOKUP("KM113",Languages!$A:$D,1,TRUE)="KM113",VLOOKUP("KM113",Languages!$A:$D,Summary!$C$7,TRUE),NA())</f>
        <v>Sisäinen viittaus</v>
      </c>
      <c r="J54" s="905" t="str">
        <f>IF(VLOOKUP("KM114",Languages!$A:$D,1,TRUE)="KM114",VLOOKUP("KM114",Languages!$A:$D,Summary!$C$7,TRUE),NA())</f>
        <v>Ulkoinen viittaus</v>
      </c>
      <c r="K54" s="905" t="str">
        <f>IF(VLOOKUP("KM115",Languages!$A:$D,1,TRUE)="KM115",VLOOKUP("KM115",Languages!$A:$D,Summary!$C$7,TRUE),NA())</f>
        <v>Kehityskohde</v>
      </c>
      <c r="L54" s="283"/>
      <c r="M54" s="284"/>
      <c r="N54" s="279"/>
      <c r="O54" s="463" t="str">
        <f>IF(VLOOKUP("GEN-ANSWER",Languages!$A:$D,1,TRUE)="GEN-ANSWER",VLOOKUP("GEN-ANSWER",Languages!$A:$D,Summary!$C$7,TRUE),NA())</f>
        <v>Vastaus</v>
      </c>
      <c r="P54" s="463" t="str">
        <f>IF(VLOOKUP("KM112",Languages!$A:$D,1,TRUE)="KM112",VLOOKUP("KM112",Languages!$A:$D,Summary!$C$7,TRUE),NA())</f>
        <v>Kommentit</v>
      </c>
      <c r="Q54" s="463" t="str">
        <f>IF(VLOOKUP("KM113",Languages!$A:$D,1,TRUE)="KM113",VLOOKUP("KM113",Languages!$A:$D,Summary!$C$7,TRUE),NA())</f>
        <v>Sisäinen viittaus</v>
      </c>
      <c r="R54" s="463" t="str">
        <f>IF(VLOOKUP("KM114",Languages!$A:$D,1,TRUE)="KM114",VLOOKUP("KM114",Languages!$A:$D,Summary!$C$7,TRUE),NA())</f>
        <v>Ulkoinen viittaus</v>
      </c>
      <c r="S54" s="463" t="str">
        <f>IF(VLOOKUP("KM115",Languages!$A:$D,1,TRUE)="KM115",VLOOKUP("KM115",Languages!$A:$D,Summary!$C$7,TRUE),NA())</f>
        <v>Kehityskohde</v>
      </c>
      <c r="T54" s="283"/>
      <c r="U54" s="284"/>
    </row>
    <row r="55" spans="1:22" s="296" customFormat="1" ht="60.6" customHeight="1" x14ac:dyDescent="0.25">
      <c r="A55" s="305"/>
      <c r="B55" s="1199"/>
      <c r="C55" s="1214">
        <v>1</v>
      </c>
      <c r="D55" s="395" t="s">
        <v>117</v>
      </c>
      <c r="E55" s="467" t="str">
        <f>IF(VLOOKUP(CONCATENATE($C$3,"-",$D55),Languages!$A:$D,1,TRUE)=CONCATENATE($C$3,"-",$D55),VLOOKUP(CONCATENATE($C$3,"-",$D55),Languages!$A:$D,Summary!$C$7,TRUE),NA())</f>
        <v>Laitteisiin, ohjelmistoihin ja tietovarantoihin tehtävät muutokset arvioidaan ja hyväksytetään ennen niiden toteuttamista. Tasolla 1 tämän ei tarvitse olla systemaattista ja säännöllistä. (ad hoc, tapauskohtaisesti)</v>
      </c>
      <c r="F55" s="386">
        <f t="shared" ref="F55:F63" si="3">IFERROR(INT(LEFT($G55,1)),0)</f>
        <v>0</v>
      </c>
      <c r="G55" s="445" t="s">
        <v>2542</v>
      </c>
      <c r="H55" s="446"/>
      <c r="I55" s="446"/>
      <c r="J55" s="446"/>
      <c r="K55" s="447"/>
      <c r="L55" s="189"/>
      <c r="M55" s="135"/>
      <c r="N55" s="157"/>
      <c r="O55" s="889" t="str">
        <f>VLOOKUP(VLOOKUP($C$3&amp;"-"&amp;$D55,Import!$C:$D,2,FALSE),Parameters!$C$18:$F$22,Summary!$C$7,FALSE)</f>
        <v xml:space="preserve">0 - Vastaus puuttuu </v>
      </c>
      <c r="P55" s="931" t="str">
        <f>IF(VLOOKUP($C$3&amp;"-"&amp;$D55,Import!$C:$H,3,FALSE)=0,"",VLOOKUP($C$3&amp;"-"&amp;$D55,Import!$C:$H,3,FALSE))</f>
        <v/>
      </c>
      <c r="Q55" s="931" t="str">
        <f>IF(VLOOKUP($C$3&amp;"-"&amp;$D55,Import!$C:$H,4,FALSE)=0,"",VLOOKUP($C$3&amp;"-"&amp;$D55,Import!$C:$H,4,FALSE))</f>
        <v/>
      </c>
      <c r="R55" s="931" t="str">
        <f>IF(VLOOKUP($C$3&amp;"-"&amp;$D55,Import!$C:$H,5,FALSE)=0,"",VLOOKUP($C$3&amp;"-"&amp;$D55,Import!$C:$H,5,FALSE))</f>
        <v/>
      </c>
      <c r="S55" s="932" t="str">
        <f>IF(VLOOKUP($C$3&amp;"-"&amp;$D55,Import!$C:$H,6,FALSE)=0,"",VLOOKUP($C$3&amp;"-"&amp;$D55,Import!$C:$H,6,FALSE))</f>
        <v/>
      </c>
      <c r="T55" s="189"/>
      <c r="U55" s="135"/>
      <c r="V55" s="278"/>
    </row>
    <row r="56" spans="1:22" s="296" customFormat="1" ht="45" customHeight="1" x14ac:dyDescent="0.25">
      <c r="A56" s="305"/>
      <c r="B56" s="1199"/>
      <c r="C56" s="1215"/>
      <c r="D56" s="396" t="s">
        <v>120</v>
      </c>
      <c r="E56" s="474" t="str">
        <f>IF(VLOOKUP(CONCATENATE($C$3,"-",$D56),Languages!$A:$D,1,TRUE)=CONCATENATE($C$3,"-",$D56),VLOOKUP(CONCATENATE($C$3,"-",$D56),Languages!$A:$D,Summary!$C$7,TRUE),NA())</f>
        <v>Laitteisiin, ohjelmistoihin ja tietovarantoihin tehtävistä muutoksista pidetään lokia. Tasolla 1 tämän ei tarvitse olla systemaattista ja säännöllistä. (ad hoc, tapauskohtaisesti)</v>
      </c>
      <c r="F56" s="393">
        <f t="shared" si="3"/>
        <v>0</v>
      </c>
      <c r="G56" s="449" t="s">
        <v>2542</v>
      </c>
      <c r="H56" s="444"/>
      <c r="I56" s="444"/>
      <c r="J56" s="444"/>
      <c r="K56" s="453"/>
      <c r="L56" s="189"/>
      <c r="M56" s="135"/>
      <c r="N56" s="157"/>
      <c r="O56" s="897" t="str">
        <f>VLOOKUP(VLOOKUP($C$3&amp;"-"&amp;$D56,Import!$C:$D,2,FALSE),Parameters!$C$18:$F$22,Summary!$C$7,FALSE)</f>
        <v xml:space="preserve">0 - Vastaus puuttuu </v>
      </c>
      <c r="P56" s="923" t="str">
        <f>IF(VLOOKUP($C$3&amp;"-"&amp;$D56,Import!$C:$H,3,FALSE)=0,"",VLOOKUP($C$3&amp;"-"&amp;$D56,Import!$C:$H,3,FALSE))</f>
        <v/>
      </c>
      <c r="Q56" s="923" t="str">
        <f>IF(VLOOKUP($C$3&amp;"-"&amp;$D56,Import!$C:$H,4,FALSE)=0,"",VLOOKUP($C$3&amp;"-"&amp;$D56,Import!$C:$H,4,FALSE))</f>
        <v/>
      </c>
      <c r="R56" s="923" t="str">
        <f>IF(VLOOKUP($C$3&amp;"-"&amp;$D56,Import!$C:$H,5,FALSE)=0,"",VLOOKUP($C$3&amp;"-"&amp;$D56,Import!$C:$H,5,FALSE))</f>
        <v/>
      </c>
      <c r="S56" s="924" t="str">
        <f>IF(VLOOKUP($C$3&amp;"-"&amp;$D56,Import!$C:$H,6,FALSE)=0,"",VLOOKUP($C$3&amp;"-"&amp;$D56,Import!$C:$H,6,FALSE))</f>
        <v/>
      </c>
      <c r="T56" s="189"/>
      <c r="U56" s="135"/>
      <c r="V56" s="278"/>
    </row>
    <row r="57" spans="1:22" s="296" customFormat="1" ht="34.950000000000003" customHeight="1" x14ac:dyDescent="0.25">
      <c r="A57" s="305"/>
      <c r="B57" s="1199"/>
      <c r="C57" s="1207">
        <v>2</v>
      </c>
      <c r="D57" s="395" t="s">
        <v>123</v>
      </c>
      <c r="E57" s="467" t="str">
        <f>IF(VLOOKUP(CONCATENATE($C$3,"-",$D57),Languages!$A:$D,1,TRUE)=CONCATENATE($C$3,"-",$D57),VLOOKUP(CONCATENATE($C$3,"-",$D57),Languages!$A:$D,Summary!$C$7,TRUE),NA())</f>
        <v>Laitteiden, ohjelmistojen ja tietovarantojen muutoksille on määritelty dokumentointivaatimukset, joita myös ylläpidetään.</v>
      </c>
      <c r="F57" s="386">
        <f t="shared" si="3"/>
        <v>0</v>
      </c>
      <c r="G57" s="445" t="s">
        <v>2542</v>
      </c>
      <c r="H57" s="442"/>
      <c r="I57" s="442"/>
      <c r="J57" s="442"/>
      <c r="K57" s="451"/>
      <c r="L57" s="189"/>
      <c r="M57" s="135"/>
      <c r="N57" s="157"/>
      <c r="O57" s="889" t="str">
        <f>VLOOKUP(VLOOKUP($C$3&amp;"-"&amp;$D57,Import!$C:$D,2,FALSE),Parameters!$C$18:$F$22,Summary!$C$7,FALSE)</f>
        <v xml:space="preserve">0 - Vastaus puuttuu </v>
      </c>
      <c r="P57" s="921" t="str">
        <f>IF(VLOOKUP($C$3&amp;"-"&amp;$D57,Import!$C:$H,3,FALSE)=0,"",VLOOKUP($C$3&amp;"-"&amp;$D57,Import!$C:$H,3,FALSE))</f>
        <v/>
      </c>
      <c r="Q57" s="921" t="str">
        <f>IF(VLOOKUP($C$3&amp;"-"&amp;$D57,Import!$C:$H,4,FALSE)=0,"",VLOOKUP($C$3&amp;"-"&amp;$D57,Import!$C:$H,4,FALSE))</f>
        <v/>
      </c>
      <c r="R57" s="921" t="str">
        <f>IF(VLOOKUP($C$3&amp;"-"&amp;$D57,Import!$C:$H,5,FALSE)=0,"",VLOOKUP($C$3&amp;"-"&amp;$D57,Import!$C:$H,5,FALSE))</f>
        <v/>
      </c>
      <c r="S57" s="922" t="str">
        <f>IF(VLOOKUP($C$3&amp;"-"&amp;$D57,Import!$C:$H,6,FALSE)=0,"",VLOOKUP($C$3&amp;"-"&amp;$D57,Import!$C:$H,6,FALSE))</f>
        <v/>
      </c>
      <c r="T57" s="189"/>
      <c r="U57" s="135"/>
      <c r="V57" s="278"/>
    </row>
    <row r="58" spans="1:22" s="296" customFormat="1" ht="45" customHeight="1" x14ac:dyDescent="0.25">
      <c r="A58" s="305"/>
      <c r="B58" s="1199"/>
      <c r="C58" s="1212"/>
      <c r="D58" s="396" t="s">
        <v>126</v>
      </c>
      <c r="E58" s="474" t="str">
        <f>IF(VLOOKUP(CONCATENATE($C$3,"-",$D58),Languages!$A:$D,1,TRUE)=CONCATENATE($C$3,"-",$D58),VLOOKUP(CONCATENATE($C$3,"-",$D58),Languages!$A:$D,Summary!$C$7,TRUE),NA())</f>
        <v>Tärkeisiin (korkean prioriteetin) laitteisiin, ohjelmistoihin ja tietovarantoihin tehtävät muutokset testataan ennen niiden toteuttamista.</v>
      </c>
      <c r="F58" s="393">
        <f t="shared" si="3"/>
        <v>0</v>
      </c>
      <c r="G58" s="449" t="s">
        <v>2542</v>
      </c>
      <c r="H58" s="444"/>
      <c r="I58" s="444"/>
      <c r="J58" s="444"/>
      <c r="K58" s="453"/>
      <c r="L58" s="189"/>
      <c r="M58" s="135"/>
      <c r="N58" s="157"/>
      <c r="O58" s="897" t="str">
        <f>VLOOKUP(VLOOKUP($C$3&amp;"-"&amp;$D58,Import!$C:$D,2,FALSE),Parameters!$C$18:$F$22,Summary!$C$7,FALSE)</f>
        <v xml:space="preserve">0 - Vastaus puuttuu </v>
      </c>
      <c r="P58" s="923" t="str">
        <f>IF(VLOOKUP($C$3&amp;"-"&amp;$D58,Import!$C:$H,3,FALSE)=0,"",VLOOKUP($C$3&amp;"-"&amp;$D58,Import!$C:$H,3,FALSE))</f>
        <v/>
      </c>
      <c r="Q58" s="923" t="str">
        <f>IF(VLOOKUP($C$3&amp;"-"&amp;$D58,Import!$C:$H,4,FALSE)=0,"",VLOOKUP($C$3&amp;"-"&amp;$D58,Import!$C:$H,4,FALSE))</f>
        <v/>
      </c>
      <c r="R58" s="923" t="str">
        <f>IF(VLOOKUP($C$3&amp;"-"&amp;$D58,Import!$C:$H,5,FALSE)=0,"",VLOOKUP($C$3&amp;"-"&amp;$D58,Import!$C:$H,5,FALSE))</f>
        <v/>
      </c>
      <c r="S58" s="924" t="str">
        <f>IF(VLOOKUP($C$3&amp;"-"&amp;$D58,Import!$C:$H,6,FALSE)=0,"",VLOOKUP($C$3&amp;"-"&amp;$D58,Import!$C:$H,6,FALSE))</f>
        <v/>
      </c>
      <c r="T58" s="189"/>
      <c r="U58" s="135"/>
      <c r="V58" s="278"/>
    </row>
    <row r="59" spans="1:22" s="296" customFormat="1" ht="34.950000000000003" customHeight="1" x14ac:dyDescent="0.25">
      <c r="A59" s="305"/>
      <c r="B59" s="1199"/>
      <c r="C59" s="1212"/>
      <c r="D59" s="395" t="s">
        <v>129</v>
      </c>
      <c r="E59" s="467" t="str">
        <f>IF(VLOOKUP(CONCATENATE($C$3,"-",$D59),Languages!$A:$D,1,TRUE)=CONCATENATE($C$3,"-",$D59),VLOOKUP(CONCATENATE($C$3,"-",$D59),Languages!$A:$D,Summary!$C$7,TRUE),NA())</f>
        <v>Muutokset ja päivitykset toteutetaan turvallisesti.</v>
      </c>
      <c r="F59" s="386">
        <f t="shared" si="3"/>
        <v>0</v>
      </c>
      <c r="G59" s="445" t="s">
        <v>2542</v>
      </c>
      <c r="H59" s="442"/>
      <c r="I59" s="442"/>
      <c r="J59" s="442"/>
      <c r="K59" s="451"/>
      <c r="L59" s="189"/>
      <c r="M59" s="135"/>
      <c r="N59" s="157"/>
      <c r="O59" s="889" t="str">
        <f>VLOOKUP(VLOOKUP($C$3&amp;"-"&amp;$D59,Import!$C:$D,2,FALSE),Parameters!$C$18:$F$22,Summary!$C$7,FALSE)</f>
        <v xml:space="preserve">0 - Vastaus puuttuu </v>
      </c>
      <c r="P59" s="921" t="str">
        <f>IF(VLOOKUP($C$3&amp;"-"&amp;$D59,Import!$C:$H,3,FALSE)=0,"",VLOOKUP($C$3&amp;"-"&amp;$D59,Import!$C:$H,3,FALSE))</f>
        <v/>
      </c>
      <c r="Q59" s="921" t="str">
        <f>IF(VLOOKUP($C$3&amp;"-"&amp;$D59,Import!$C:$H,4,FALSE)=0,"",VLOOKUP($C$3&amp;"-"&amp;$D59,Import!$C:$H,4,FALSE))</f>
        <v/>
      </c>
      <c r="R59" s="921" t="str">
        <f>IF(VLOOKUP($C$3&amp;"-"&amp;$D59,Import!$C:$H,5,FALSE)=0,"",VLOOKUP($C$3&amp;"-"&amp;$D59,Import!$C:$H,5,FALSE))</f>
        <v/>
      </c>
      <c r="S59" s="922" t="str">
        <f>IF(VLOOKUP($C$3&amp;"-"&amp;$D59,Import!$C:$H,6,FALSE)=0,"",VLOOKUP($C$3&amp;"-"&amp;$D59,Import!$C:$H,6,FALSE))</f>
        <v/>
      </c>
      <c r="T59" s="189"/>
      <c r="U59" s="135"/>
      <c r="V59" s="278"/>
    </row>
    <row r="60" spans="1:22" s="296" customFormat="1" ht="34.950000000000003" customHeight="1" x14ac:dyDescent="0.25">
      <c r="A60" s="305"/>
      <c r="B60" s="1199"/>
      <c r="C60" s="1212"/>
      <c r="D60" s="1020" t="s">
        <v>131</v>
      </c>
      <c r="E60" s="474" t="str">
        <f>IF(VLOOKUP(CONCATENATE($C$3,"-",$D60),Languages!$A:$D,1,TRUE)=CONCATENATE($C$3,"-",$D60),VLOOKUP(CONCATENATE($C$3,"-",$D60),Languages!$A:$D,Summary!$C$7,TRUE),NA())</f>
        <v>Kyvykkyys palautua muutoksia edeltävään tilaan on olemassa ja sitä ylläpidetään niiden laitteiden, ohjelmistojen ja tietovarantojen osalta, jotka ovat tärkeitä toiminnolle.</v>
      </c>
      <c r="F60" s="386">
        <f t="shared" si="3"/>
        <v>0</v>
      </c>
      <c r="G60" s="1021" t="s">
        <v>2542</v>
      </c>
      <c r="H60" s="1022"/>
      <c r="I60" s="1022"/>
      <c r="J60" s="1022"/>
      <c r="K60" s="1023"/>
      <c r="L60" s="189"/>
      <c r="M60" s="135"/>
      <c r="N60" s="157"/>
      <c r="O60" s="889" t="str">
        <f>VLOOKUP(VLOOKUP($C$3&amp;"-"&amp;$D60,Import!$C:$D,2,FALSE),Parameters!$C$18:$F$22,Summary!$C$7,FALSE)</f>
        <v xml:space="preserve">0 - Vastaus puuttuu </v>
      </c>
      <c r="P60" s="921" t="str">
        <f>IF(VLOOKUP($C$3&amp;"-"&amp;$D60,Import!$C:$H,3,FALSE)=0,"",VLOOKUP($C$3&amp;"-"&amp;$D60,Import!$C:$H,3,FALSE))</f>
        <v/>
      </c>
      <c r="Q60" s="921" t="str">
        <f>IF(VLOOKUP($C$3&amp;"-"&amp;$D60,Import!$C:$H,4,FALSE)=0,"",VLOOKUP($C$3&amp;"-"&amp;$D60,Import!$C:$H,4,FALSE))</f>
        <v/>
      </c>
      <c r="R60" s="921" t="str">
        <f>IF(VLOOKUP($C$3&amp;"-"&amp;$D60,Import!$C:$H,5,FALSE)=0,"",VLOOKUP($C$3&amp;"-"&amp;$D60,Import!$C:$H,5,FALSE))</f>
        <v/>
      </c>
      <c r="S60" s="922" t="str">
        <f>IF(VLOOKUP($C$3&amp;"-"&amp;$D60,Import!$C:$H,6,FALSE)=0,"",VLOOKUP($C$3&amp;"-"&amp;$D60,Import!$C:$H,6,FALSE))</f>
        <v/>
      </c>
      <c r="T60" s="189"/>
      <c r="U60" s="135"/>
      <c r="V60" s="278"/>
    </row>
    <row r="61" spans="1:22" s="296" customFormat="1" ht="34.950000000000003" customHeight="1" x14ac:dyDescent="0.25">
      <c r="A61" s="305"/>
      <c r="B61" s="1199"/>
      <c r="C61" s="1208"/>
      <c r="D61" s="1052" t="s">
        <v>239</v>
      </c>
      <c r="E61" s="474" t="str">
        <f>IF(VLOOKUP(CONCATENATE($C$3,"-",$D61),Languages!$A:$D,1,TRUE)=CONCATENATE($C$3,"-",$D61),VLOOKUP(CONCATENATE($C$3,"-",$D61),Languages!$A:$D,Summary!$C$7,TRUE),NA())</f>
        <v>Muutoksenhallinnan käytännöt kattavat laitteiden, ohjelmistojen ja tiedon koko elinkaaren (esimerkiksi hankinnan, käyttöönoton, käytön ja käytöstä poiston).</v>
      </c>
      <c r="F61" s="391">
        <f t="shared" si="3"/>
        <v>0</v>
      </c>
      <c r="G61" s="492" t="s">
        <v>2542</v>
      </c>
      <c r="H61" s="1053"/>
      <c r="I61" s="1053"/>
      <c r="J61" s="1053"/>
      <c r="K61" s="1054"/>
      <c r="L61" s="189"/>
      <c r="M61" s="135"/>
      <c r="N61" s="157"/>
      <c r="O61" s="889" t="str">
        <f>VLOOKUP(VLOOKUP($C$3&amp;"-"&amp;$D61,Import!$C:$D,2,FALSE),Parameters!$C$18:$F$22,Summary!$C$7,FALSE)</f>
        <v xml:space="preserve">0 - Vastaus puuttuu </v>
      </c>
      <c r="P61" s="921" t="str">
        <f>IF(VLOOKUP($C$3&amp;"-"&amp;$D61,Import!$C:$H,3,FALSE)=0,"",VLOOKUP($C$3&amp;"-"&amp;$D61,Import!$C:$H,3,FALSE))</f>
        <v/>
      </c>
      <c r="Q61" s="921" t="str">
        <f>IF(VLOOKUP($C$3&amp;"-"&amp;$D61,Import!$C:$H,4,FALSE)=0,"",VLOOKUP($C$3&amp;"-"&amp;$D61,Import!$C:$H,4,FALSE))</f>
        <v/>
      </c>
      <c r="R61" s="921" t="str">
        <f>IF(VLOOKUP($C$3&amp;"-"&amp;$D61,Import!$C:$H,5,FALSE)=0,"",VLOOKUP($C$3&amp;"-"&amp;$D61,Import!$C:$H,5,FALSE))</f>
        <v/>
      </c>
      <c r="S61" s="922" t="str">
        <f>IF(VLOOKUP($C$3&amp;"-"&amp;$D61,Import!$C:$H,6,FALSE)=0,"",VLOOKUP($C$3&amp;"-"&amp;$D61,Import!$C:$H,6,FALSE))</f>
        <v/>
      </c>
      <c r="T61" s="189"/>
      <c r="U61" s="135"/>
      <c r="V61" s="278"/>
    </row>
    <row r="62" spans="1:22" s="296" customFormat="1" ht="34.950000000000003" customHeight="1" x14ac:dyDescent="0.25">
      <c r="A62" s="305"/>
      <c r="B62" s="1199"/>
      <c r="C62" s="1209">
        <v>3</v>
      </c>
      <c r="D62" s="1020" t="s">
        <v>327</v>
      </c>
      <c r="E62" s="1051" t="str">
        <f>IF(VLOOKUP(CONCATENATE($C$3,"-",$D62),Languages!$A:$D,1,TRUE)=CONCATENATE($C$3,"-",$D62),VLOOKUP(CONCATENATE($C$3,"-",$D62),Languages!$A:$D,Summary!$C$7,TRUE),NA())</f>
        <v>Tärkeisiin (korkean prioriteetin) laitteisiin, ohjelmistoihin ja tietovarantoihin tehtävien muutosten kyberturvallisuusvaikutus testataan ennen niiden toteuttamista.</v>
      </c>
      <c r="F62" s="394">
        <f t="shared" si="3"/>
        <v>0</v>
      </c>
      <c r="G62" s="1021" t="s">
        <v>2542</v>
      </c>
      <c r="H62" s="1022"/>
      <c r="I62" s="1022"/>
      <c r="J62" s="1022"/>
      <c r="K62" s="1023"/>
      <c r="L62" s="189"/>
      <c r="M62" s="135"/>
      <c r="N62" s="157"/>
      <c r="O62" s="889" t="str">
        <f>VLOOKUP(VLOOKUP($C$3&amp;"-"&amp;$D62,Import!$C:$D,2,FALSE),Parameters!$C$18:$F$22,Summary!$C$7,FALSE)</f>
        <v xml:space="preserve">0 - Vastaus puuttuu </v>
      </c>
      <c r="P62" s="921" t="str">
        <f>IF(VLOOKUP($C$3&amp;"-"&amp;$D62,Import!$C:$H,3,FALSE)=0,"",VLOOKUP($C$3&amp;"-"&amp;$D62,Import!$C:$H,3,FALSE))</f>
        <v/>
      </c>
      <c r="Q62" s="921" t="str">
        <f>IF(VLOOKUP($C$3&amp;"-"&amp;$D62,Import!$C:$H,4,FALSE)=0,"",VLOOKUP($C$3&amp;"-"&amp;$D62,Import!$C:$H,4,FALSE))</f>
        <v/>
      </c>
      <c r="R62" s="921" t="str">
        <f>IF(VLOOKUP($C$3&amp;"-"&amp;$D62,Import!$C:$H,5,FALSE)=0,"",VLOOKUP($C$3&amp;"-"&amp;$D62,Import!$C:$H,5,FALSE))</f>
        <v/>
      </c>
      <c r="S62" s="922" t="str">
        <f>IF(VLOOKUP($C$3&amp;"-"&amp;$D62,Import!$C:$H,6,FALSE)=0,"",VLOOKUP($C$3&amp;"-"&amp;$D62,Import!$C:$H,6,FALSE))</f>
        <v/>
      </c>
      <c r="T62" s="189"/>
      <c r="U62" s="135"/>
      <c r="V62" s="278"/>
    </row>
    <row r="63" spans="1:22" s="296" customFormat="1" ht="45" customHeight="1" x14ac:dyDescent="0.25">
      <c r="A63" s="305"/>
      <c r="B63" s="1199"/>
      <c r="C63" s="1211"/>
      <c r="D63" s="396" t="s">
        <v>328</v>
      </c>
      <c r="E63" s="474" t="str">
        <f>IF(VLOOKUP(CONCATENATE($C$3,"-",$D63),Languages!$A:$D,1,TRUE)=CONCATENATE($C$3,"-",$D63),VLOOKUP(CONCATENATE($C$3,"-",$D63),Languages!$A:$D,Summary!$C$7,TRUE),NA())</f>
        <v>Muutoksenhallinnan lokit sisältävät tietoa sellaisista tehdyistä muutoksista, jotka vaikuttavat kyseisen laitteen, ohjelmiston tai tietovarannon kyberturvallisuusvaatimuksiin.</v>
      </c>
      <c r="F63" s="393">
        <f t="shared" si="3"/>
        <v>0</v>
      </c>
      <c r="G63" s="449" t="s">
        <v>2542</v>
      </c>
      <c r="H63" s="444"/>
      <c r="I63" s="444"/>
      <c r="J63" s="444"/>
      <c r="K63" s="453"/>
      <c r="L63" s="189"/>
      <c r="M63" s="135"/>
      <c r="N63" s="157"/>
      <c r="O63" s="897" t="str">
        <f>VLOOKUP(VLOOKUP($C$3&amp;"-"&amp;$D63,Import!$C:$D,2,FALSE),Parameters!$C$18:$F$22,Summary!$C$7,FALSE)</f>
        <v xml:space="preserve">0 - Vastaus puuttuu </v>
      </c>
      <c r="P63" s="923" t="str">
        <f>IF(VLOOKUP($C$3&amp;"-"&amp;$D63,Import!$C:$H,3,FALSE)=0,"",VLOOKUP($C$3&amp;"-"&amp;$D63,Import!$C:$H,3,FALSE))</f>
        <v/>
      </c>
      <c r="Q63" s="923" t="str">
        <f>IF(VLOOKUP($C$3&amp;"-"&amp;$D63,Import!$C:$H,4,FALSE)=0,"",VLOOKUP($C$3&amp;"-"&amp;$D63,Import!$C:$H,4,FALSE))</f>
        <v/>
      </c>
      <c r="R63" s="923" t="str">
        <f>IF(VLOOKUP($C$3&amp;"-"&amp;$D63,Import!$C:$H,5,FALSE)=0,"",VLOOKUP($C$3&amp;"-"&amp;$D63,Import!$C:$H,5,FALSE))</f>
        <v/>
      </c>
      <c r="S63" s="924" t="str">
        <f>IF(VLOOKUP($C$3&amp;"-"&amp;$D63,Import!$C:$H,6,FALSE)=0,"",VLOOKUP($C$3&amp;"-"&amp;$D63,Import!$C:$H,6,FALSE))</f>
        <v/>
      </c>
      <c r="T63" s="189"/>
      <c r="U63" s="135"/>
      <c r="V63" s="278"/>
    </row>
    <row r="64" spans="1:22" s="177" customFormat="1" ht="30" customHeight="1" x14ac:dyDescent="0.25">
      <c r="A64" s="166"/>
      <c r="B64" s="269"/>
      <c r="C64" s="170">
        <v>5</v>
      </c>
      <c r="D64" s="170" t="str">
        <f>IF(VLOOKUP(CONCATENATE($C$3,"-",C64),Languages!$A:$D,1,TRUE)=CONCATENATE($C$3,"-",C64),VLOOKUP(CONCATENATE($C$3,"-",C64),Languages!$A:$D,Summary!$C$7,TRUE),NA())</f>
        <v>Yleisiä hallintatoimia</v>
      </c>
      <c r="E64" s="170"/>
      <c r="F64" s="292"/>
      <c r="G64" s="907"/>
      <c r="H64" s="929"/>
      <c r="I64" s="929"/>
      <c r="J64" s="929"/>
      <c r="K64" s="929"/>
      <c r="L64" s="189"/>
      <c r="M64" s="135"/>
      <c r="N64" s="157"/>
      <c r="O64" s="292"/>
      <c r="P64" s="293"/>
      <c r="Q64" s="293"/>
      <c r="R64" s="293"/>
      <c r="S64" s="293"/>
      <c r="T64" s="189"/>
      <c r="U64" s="135"/>
      <c r="V64" s="278"/>
    </row>
    <row r="65" spans="1:22" s="285" customFormat="1" ht="19.95" customHeight="1" x14ac:dyDescent="0.2">
      <c r="A65" s="304"/>
      <c r="B65" s="279"/>
      <c r="C65" s="280" t="str">
        <f>IF(VLOOKUP("GEN-LEVEL",Languages!$A:$D,1,TRUE)="GEN-LEVEL",VLOOKUP("GEN-LEVEL",Languages!$A:$D,Summary!$C$7,TRUE),NA())</f>
        <v>Taso</v>
      </c>
      <c r="D65" s="280"/>
      <c r="E65" s="281" t="str">
        <f>IF(VLOOKUP("GEN-PRACTICE",Languages!$A:$D,1,TRUE)="GEN-PRACTICE",VLOOKUP("GEN-PRACTICE",Languages!$A:$D,Summary!$C$7,TRUE),NA())</f>
        <v>Käytäntö</v>
      </c>
      <c r="F65" s="282"/>
      <c r="G65" s="904" t="str">
        <f>IF(VLOOKUP("GEN-ANSWER",Languages!$A:$D,1,TRUE)="GEN-ANSWER",VLOOKUP("GEN-ANSWER",Languages!$A:$D,Summary!$C$7,TRUE),NA())</f>
        <v>Vastaus</v>
      </c>
      <c r="H65" s="905" t="str">
        <f>IF(VLOOKUP("KM112",Languages!$A:$D,1,TRUE)="KM112",VLOOKUP("KM112",Languages!$A:$D,Summary!$C$7,TRUE),NA())</f>
        <v>Kommentit</v>
      </c>
      <c r="I65" s="905" t="str">
        <f>IF(VLOOKUP("KM113",Languages!$A:$D,1,TRUE)="KM113",VLOOKUP("KM113",Languages!$A:$D,Summary!$C$7,TRUE),NA())</f>
        <v>Sisäinen viittaus</v>
      </c>
      <c r="J65" s="905" t="str">
        <f>IF(VLOOKUP("KM114",Languages!$A:$D,1,TRUE)="KM114",VLOOKUP("KM114",Languages!$A:$D,Summary!$C$7,TRUE),NA())</f>
        <v>Ulkoinen viittaus</v>
      </c>
      <c r="K65" s="905" t="str">
        <f>IF(VLOOKUP("KM115",Languages!$A:$D,1,TRUE)="KM115",VLOOKUP("KM115",Languages!$A:$D,Summary!$C$7,TRUE),NA())</f>
        <v>Kehityskohde</v>
      </c>
      <c r="L65" s="283"/>
      <c r="M65" s="284"/>
      <c r="N65" s="279"/>
      <c r="O65" s="463" t="str">
        <f>IF(VLOOKUP("GEN-ANSWER",Languages!$A:$D,1,TRUE)="GEN-ANSWER",VLOOKUP("GEN-ANSWER",Languages!$A:$D,Summary!$C$7,TRUE),NA())</f>
        <v>Vastaus</v>
      </c>
      <c r="P65" s="463" t="str">
        <f>IF(VLOOKUP("KM112",Languages!$A:$D,1,TRUE)="KM112",VLOOKUP("KM112",Languages!$A:$D,Summary!$C$7,TRUE),NA())</f>
        <v>Kommentit</v>
      </c>
      <c r="Q65" s="463" t="str">
        <f>IF(VLOOKUP("KM113",Languages!$A:$D,1,TRUE)="KM113",VLOOKUP("KM113",Languages!$A:$D,Summary!$C$7,TRUE),NA())</f>
        <v>Sisäinen viittaus</v>
      </c>
      <c r="R65" s="463" t="str">
        <f>IF(VLOOKUP("KM114",Languages!$A:$D,1,TRUE)="KM114",VLOOKUP("KM114",Languages!$A:$D,Summary!$C$7,TRUE),NA())</f>
        <v>Ulkoinen viittaus</v>
      </c>
      <c r="S65" s="463" t="str">
        <f>IF(VLOOKUP("KM115",Languages!$A:$D,1,TRUE)="KM115",VLOOKUP("KM115",Languages!$A:$D,Summary!$C$7,TRUE),NA())</f>
        <v>Kehityskohde</v>
      </c>
      <c r="T65" s="283"/>
      <c r="U65" s="284"/>
    </row>
    <row r="66" spans="1:22" s="285" customFormat="1" ht="19.95" customHeight="1" x14ac:dyDescent="0.2">
      <c r="A66" s="304"/>
      <c r="B66" s="279"/>
      <c r="C66" s="457">
        <v>1</v>
      </c>
      <c r="D66" s="401"/>
      <c r="E66" s="402"/>
      <c r="F66" s="404"/>
      <c r="G66" s="942"/>
      <c r="H66" s="943"/>
      <c r="I66" s="944"/>
      <c r="J66" s="944"/>
      <c r="K66" s="945"/>
      <c r="L66" s="189"/>
      <c r="M66" s="135"/>
      <c r="N66" s="157"/>
      <c r="O66" s="495"/>
      <c r="P66" s="479"/>
      <c r="Q66" s="477"/>
      <c r="R66" s="477"/>
      <c r="S66" s="478"/>
      <c r="T66" s="189"/>
      <c r="U66" s="135"/>
      <c r="V66" s="278"/>
    </row>
    <row r="67" spans="1:22" s="296" customFormat="1" ht="34.950000000000003" customHeight="1" x14ac:dyDescent="0.25">
      <c r="A67" s="305"/>
      <c r="B67" s="1199"/>
      <c r="C67" s="1207">
        <v>2</v>
      </c>
      <c r="D67" s="395" t="s">
        <v>134</v>
      </c>
      <c r="E67" s="467" t="str">
        <f>IF(VLOOKUP(CONCATENATE($C$3,"-",$D67),Languages!$A:$D,1,TRUE)=CONCATENATE($C$3,"-",$D67),VLOOKUP(CONCATENATE($C$3,"-",$D67),Languages!$A:$D,Summary!$C$7,TRUE),NA())</f>
        <v>ASSET-osion toimintaa varten on määritetty dokumentoidut toimintatavat, joita noudatetaan ja päivitetään säännöllisesti.</v>
      </c>
      <c r="F67" s="386">
        <f t="shared" ref="F67:F72" si="4">IFERROR(INT(LEFT($G67,1)),0)</f>
        <v>0</v>
      </c>
      <c r="G67" s="480" t="s">
        <v>2542</v>
      </c>
      <c r="H67" s="481"/>
      <c r="I67" s="442"/>
      <c r="J67" s="442"/>
      <c r="K67" s="451"/>
      <c r="L67" s="189"/>
      <c r="M67" s="135"/>
      <c r="N67" s="157"/>
      <c r="O67" s="949" t="str">
        <f>VLOOKUP(VLOOKUP($C$3&amp;"-"&amp;$D67,Import!$C:$D,2,FALSE),Parameters!$C$18:$F$22,Summary!$C$7,FALSE)</f>
        <v xml:space="preserve">0 - Vastaus puuttuu </v>
      </c>
      <c r="P67" s="950" t="str">
        <f>IF(VLOOKUP($C$3&amp;"-"&amp;$D67,Import!$C:$H,3,FALSE)=0,"",VLOOKUP($C$3&amp;"-"&amp;$D67,Import!$C:$H,3,FALSE))</f>
        <v/>
      </c>
      <c r="Q67" s="921" t="str">
        <f>IF(VLOOKUP($C$3&amp;"-"&amp;$D67,Import!$C:$H,4,FALSE)=0,"",VLOOKUP($C$3&amp;"-"&amp;$D67,Import!$C:$H,4,FALSE))</f>
        <v/>
      </c>
      <c r="R67" s="921" t="str">
        <f>IF(VLOOKUP($C$3&amp;"-"&amp;$D67,Import!$C:$H,5,FALSE)=0,"",VLOOKUP($C$3&amp;"-"&amp;$D67,Import!$C:$H,5,FALSE))</f>
        <v/>
      </c>
      <c r="S67" s="922" t="str">
        <f>IF(VLOOKUP($C$3&amp;"-"&amp;$D67,Import!$C:$H,6,FALSE)=0,"",VLOOKUP($C$3&amp;"-"&amp;$D67,Import!$C:$H,6,FALSE))</f>
        <v/>
      </c>
      <c r="T67" s="189"/>
      <c r="U67" s="135"/>
      <c r="V67" s="278"/>
    </row>
    <row r="68" spans="1:22" s="296" customFormat="1" ht="34.950000000000003" customHeight="1" x14ac:dyDescent="0.25">
      <c r="A68" s="305"/>
      <c r="B68" s="1199"/>
      <c r="C68" s="1208"/>
      <c r="D68" s="396" t="s">
        <v>137</v>
      </c>
      <c r="E68" s="474" t="str">
        <f>IF(VLOOKUP(CONCATENATE($C$3,"-",$D68),Languages!$A:$D,1,TRUE)=CONCATENATE($C$3,"-",$D68),VLOOKUP(CONCATENATE($C$3,"-",$D68),Languages!$A:$D,Summary!$C$7,TRUE),NA())</f>
        <v>ASSET-osion toimintaa varten on tarjolla riittävät resurssit (henkilöstö, rahoitus ja työkalut).</v>
      </c>
      <c r="F68" s="393">
        <f t="shared" si="4"/>
        <v>0</v>
      </c>
      <c r="G68" s="482" t="s">
        <v>2542</v>
      </c>
      <c r="H68" s="483"/>
      <c r="I68" s="444"/>
      <c r="J68" s="444"/>
      <c r="K68" s="453"/>
      <c r="L68" s="189"/>
      <c r="M68" s="135"/>
      <c r="N68" s="157"/>
      <c r="O68" s="951" t="str">
        <f>VLOOKUP(VLOOKUP($C$3&amp;"-"&amp;$D68,Import!$C:$D,2,FALSE),Parameters!$C$18:$F$22,Summary!$C$7,FALSE)</f>
        <v xml:space="preserve">0 - Vastaus puuttuu </v>
      </c>
      <c r="P68" s="952" t="str">
        <f>IF(VLOOKUP($C$3&amp;"-"&amp;$D68,Import!$C:$H,3,FALSE)=0,"",VLOOKUP($C$3&amp;"-"&amp;$D68,Import!$C:$H,3,FALSE))</f>
        <v/>
      </c>
      <c r="Q68" s="923" t="str">
        <f>IF(VLOOKUP($C$3&amp;"-"&amp;$D68,Import!$C:$H,4,FALSE)=0,"",VLOOKUP($C$3&amp;"-"&amp;$D68,Import!$C:$H,4,FALSE))</f>
        <v/>
      </c>
      <c r="R68" s="923" t="str">
        <f>IF(VLOOKUP($C$3&amp;"-"&amp;$D68,Import!$C:$H,5,FALSE)=0,"",VLOOKUP($C$3&amp;"-"&amp;$D68,Import!$C:$H,5,FALSE))</f>
        <v/>
      </c>
      <c r="S68" s="924" t="str">
        <f>IF(VLOOKUP($C$3&amp;"-"&amp;$D68,Import!$C:$H,6,FALSE)=0,"",VLOOKUP($C$3&amp;"-"&amp;$D68,Import!$C:$H,6,FALSE))</f>
        <v/>
      </c>
      <c r="T68" s="189"/>
      <c r="U68" s="135"/>
      <c r="V68" s="278"/>
    </row>
    <row r="69" spans="1:22" s="296" customFormat="1" ht="46.2" customHeight="1" x14ac:dyDescent="0.25">
      <c r="A69" s="305"/>
      <c r="B69" s="1199"/>
      <c r="C69" s="1209">
        <v>3</v>
      </c>
      <c r="D69" s="395" t="s">
        <v>140</v>
      </c>
      <c r="E69" s="467" t="str">
        <f>IF(VLOOKUP(CONCATENATE($C$3,"-",$D69),Languages!$A:$D,1,TRUE)=CONCATENATE($C$3,"-",$D69),VLOOKUP(CONCATENATE($C$3,"-",$D69),Languages!$A:$D,Summary!$C$7,TRUE),NA())</f>
        <v>ASSET-osion toimintaa ohjataan vaatimuksilla, jotka on asetettu organisaation johtotason politiikassa (tai vastaavassa ohjeistuksessa).</v>
      </c>
      <c r="F69" s="386">
        <f t="shared" si="4"/>
        <v>0</v>
      </c>
      <c r="G69" s="480" t="s">
        <v>2542</v>
      </c>
      <c r="H69" s="481"/>
      <c r="I69" s="442"/>
      <c r="J69" s="442"/>
      <c r="K69" s="451"/>
      <c r="L69" s="189"/>
      <c r="M69" s="135"/>
      <c r="N69" s="157"/>
      <c r="O69" s="949" t="str">
        <f>VLOOKUP(VLOOKUP($C$3&amp;"-"&amp;$D69,Import!$C:$D,2,FALSE),Parameters!$C$18:$F$22,Summary!$C$7,FALSE)</f>
        <v xml:space="preserve">0 - Vastaus puuttuu </v>
      </c>
      <c r="P69" s="950" t="str">
        <f>IF(VLOOKUP($C$3&amp;"-"&amp;$D69,Import!$C:$H,3,FALSE)=0,"",VLOOKUP($C$3&amp;"-"&amp;$D69,Import!$C:$H,3,FALSE))</f>
        <v/>
      </c>
      <c r="Q69" s="921" t="str">
        <f>IF(VLOOKUP($C$3&amp;"-"&amp;$D69,Import!$C:$H,4,FALSE)=0,"",VLOOKUP($C$3&amp;"-"&amp;$D69,Import!$C:$H,4,FALSE))</f>
        <v/>
      </c>
      <c r="R69" s="921" t="str">
        <f>IF(VLOOKUP($C$3&amp;"-"&amp;$D69,Import!$C:$H,5,FALSE)=0,"",VLOOKUP($C$3&amp;"-"&amp;$D69,Import!$C:$H,5,FALSE))</f>
        <v/>
      </c>
      <c r="S69" s="922" t="str">
        <f>IF(VLOOKUP($C$3&amp;"-"&amp;$D69,Import!$C:$H,6,FALSE)=0,"",VLOOKUP($C$3&amp;"-"&amp;$D69,Import!$C:$H,6,FALSE))</f>
        <v/>
      </c>
      <c r="T69" s="189"/>
      <c r="U69" s="135"/>
      <c r="V69" s="278"/>
    </row>
    <row r="70" spans="1:22" s="296" customFormat="1" ht="34.950000000000003" customHeight="1" x14ac:dyDescent="0.25">
      <c r="A70" s="305"/>
      <c r="B70" s="1199"/>
      <c r="C70" s="1210"/>
      <c r="D70" s="294" t="s">
        <v>142</v>
      </c>
      <c r="E70" s="468" t="str">
        <f>IF(VLOOKUP(CONCATENATE($C$3,"-",$D70),Languages!$A:$D,1,TRUE)=CONCATENATE($C$3,"-",$D70),VLOOKUP(CONCATENATE($C$3,"-",$D70),Languages!$A:$D,Summary!$C$7,TRUE),NA())</f>
        <v>ASSET-osion toiminnan suorittamiseen tarvittavat vastuut, tilivelvollisuudet ja valtuutukset on jalkautettu soveltuville työntekijöille.</v>
      </c>
      <c r="F70" s="287">
        <f t="shared" si="4"/>
        <v>0</v>
      </c>
      <c r="G70" s="484" t="s">
        <v>2542</v>
      </c>
      <c r="H70" s="485"/>
      <c r="I70" s="443"/>
      <c r="J70" s="443"/>
      <c r="K70" s="452"/>
      <c r="L70" s="189"/>
      <c r="M70" s="135"/>
      <c r="N70" s="157"/>
      <c r="O70" s="953" t="str">
        <f>VLOOKUP(VLOOKUP($C$3&amp;"-"&amp;$D70,Import!$C:$D,2,FALSE),Parameters!$C$18:$F$22,Summary!$C$7,FALSE)</f>
        <v xml:space="preserve">0 - Vastaus puuttuu </v>
      </c>
      <c r="P70" s="954" t="str">
        <f>IF(VLOOKUP($C$3&amp;"-"&amp;$D70,Import!$C:$H,3,FALSE)=0,"",VLOOKUP($C$3&amp;"-"&amp;$D70,Import!$C:$H,3,FALSE))</f>
        <v/>
      </c>
      <c r="Q70" s="916" t="str">
        <f>IF(VLOOKUP($C$3&amp;"-"&amp;$D70,Import!$C:$H,4,FALSE)=0,"",VLOOKUP($C$3&amp;"-"&amp;$D70,Import!$C:$H,4,FALSE))</f>
        <v/>
      </c>
      <c r="R70" s="916" t="str">
        <f>IF(VLOOKUP($C$3&amp;"-"&amp;$D70,Import!$C:$H,5,FALSE)=0,"",VLOOKUP($C$3&amp;"-"&amp;$D70,Import!$C:$H,5,FALSE))</f>
        <v/>
      </c>
      <c r="S70" s="917" t="str">
        <f>IF(VLOOKUP($C$3&amp;"-"&amp;$D70,Import!$C:$H,6,FALSE)=0,"",VLOOKUP($C$3&amp;"-"&amp;$D70,Import!$C:$H,6,FALSE))</f>
        <v/>
      </c>
      <c r="T70" s="189"/>
      <c r="U70" s="135"/>
      <c r="V70" s="278"/>
    </row>
    <row r="71" spans="1:22" s="296" customFormat="1" ht="48.6" customHeight="1" x14ac:dyDescent="0.25">
      <c r="A71" s="305"/>
      <c r="B71" s="1199"/>
      <c r="C71" s="1210"/>
      <c r="D71" s="294" t="s">
        <v>144</v>
      </c>
      <c r="E71" s="468" t="str">
        <f>IF(VLOOKUP(CONCATENATE($C$3,"-",$D71),Languages!$A:$D,1,TRUE)=CONCATENATE($C$3,"-",$D71),VLOOKUP(CONCATENATE($C$3,"-",$D71),Languages!$A:$D,Summary!$C$7,TRUE),NA())</f>
        <v>ASSET-osion toimintaa suorittavilla työntekijöillä on riittävät tiedot ja taidot tehtäviensä suorittamiseen.</v>
      </c>
      <c r="F71" s="287">
        <f t="shared" si="4"/>
        <v>0</v>
      </c>
      <c r="G71" s="484" t="s">
        <v>2542</v>
      </c>
      <c r="H71" s="485"/>
      <c r="I71" s="443"/>
      <c r="J71" s="443"/>
      <c r="K71" s="452"/>
      <c r="L71" s="189"/>
      <c r="M71" s="135"/>
      <c r="N71" s="157"/>
      <c r="O71" s="953" t="str">
        <f>VLOOKUP(VLOOKUP($C$3&amp;"-"&amp;$D71,Import!$C:$D,2,FALSE),Parameters!$C$18:$F$22,Summary!$C$7,FALSE)</f>
        <v xml:space="preserve">0 - Vastaus puuttuu </v>
      </c>
      <c r="P71" s="954" t="str">
        <f>IF(VLOOKUP($C$3&amp;"-"&amp;$D71,Import!$C:$H,3,FALSE)=0,"",VLOOKUP($C$3&amp;"-"&amp;$D71,Import!$C:$H,3,FALSE))</f>
        <v/>
      </c>
      <c r="Q71" s="916" t="str">
        <f>IF(VLOOKUP($C$3&amp;"-"&amp;$D71,Import!$C:$H,4,FALSE)=0,"",VLOOKUP($C$3&amp;"-"&amp;$D71,Import!$C:$H,4,FALSE))</f>
        <v/>
      </c>
      <c r="R71" s="916" t="str">
        <f>IF(VLOOKUP($C$3&amp;"-"&amp;$D71,Import!$C:$H,5,FALSE)=0,"",VLOOKUP($C$3&amp;"-"&amp;$D71,Import!$C:$H,5,FALSE))</f>
        <v/>
      </c>
      <c r="S71" s="917" t="str">
        <f>IF(VLOOKUP($C$3&amp;"-"&amp;$D71,Import!$C:$H,6,FALSE)=0,"",VLOOKUP($C$3&amp;"-"&amp;$D71,Import!$C:$H,6,FALSE))</f>
        <v/>
      </c>
      <c r="T71" s="189"/>
      <c r="U71" s="135"/>
      <c r="V71" s="278"/>
    </row>
    <row r="72" spans="1:22" s="296" customFormat="1" ht="34.950000000000003" customHeight="1" x14ac:dyDescent="0.25">
      <c r="A72" s="305"/>
      <c r="B72" s="1199"/>
      <c r="C72" s="1211"/>
      <c r="D72" s="396" t="s">
        <v>146</v>
      </c>
      <c r="E72" s="474" t="str">
        <f>IF(VLOOKUP(CONCATENATE($C$3,"-",$D72),Languages!$A:$D,1,TRUE)=CONCATENATE($C$3,"-",$D72),VLOOKUP(CONCATENATE($C$3,"-",$D72),Languages!$A:$D,Summary!$C$7,TRUE),NA())</f>
        <v>ASSET-osion toiminnan vaikuttavuutta arvioidaan ja seurataan.</v>
      </c>
      <c r="F72" s="393">
        <f t="shared" si="4"/>
        <v>0</v>
      </c>
      <c r="G72" s="482" t="s">
        <v>2542</v>
      </c>
      <c r="H72" s="483"/>
      <c r="I72" s="444"/>
      <c r="J72" s="444"/>
      <c r="K72" s="453"/>
      <c r="L72" s="189"/>
      <c r="M72" s="135"/>
      <c r="N72" s="157"/>
      <c r="O72" s="951" t="str">
        <f>VLOOKUP(VLOOKUP($C$3&amp;"-"&amp;$D72,Import!$C:$D,2,FALSE),Parameters!$C$18:$F$22,Summary!$C$7,FALSE)</f>
        <v xml:space="preserve">0 - Vastaus puuttuu </v>
      </c>
      <c r="P72" s="952" t="str">
        <f>IF(VLOOKUP($C$3&amp;"-"&amp;$D72,Import!$C:$H,3,FALSE)=0,"",VLOOKUP($C$3&amp;"-"&amp;$D72,Import!$C:$H,3,FALSE))</f>
        <v/>
      </c>
      <c r="Q72" s="923" t="str">
        <f>IF(VLOOKUP($C$3&amp;"-"&amp;$D72,Import!$C:$H,4,FALSE)=0,"",VLOOKUP($C$3&amp;"-"&amp;$D72,Import!$C:$H,4,FALSE))</f>
        <v/>
      </c>
      <c r="R72" s="923" t="str">
        <f>IF(VLOOKUP($C$3&amp;"-"&amp;$D72,Import!$C:$H,5,FALSE)=0,"",VLOOKUP($C$3&amp;"-"&amp;$D72,Import!$C:$H,5,FALSE))</f>
        <v/>
      </c>
      <c r="S72" s="924" t="str">
        <f>IF(VLOOKUP($C$3&amp;"-"&amp;$D72,Import!$C:$H,6,FALSE)=0,"",VLOOKUP($C$3&amp;"-"&amp;$D72,Import!$C:$H,6,FALSE))</f>
        <v/>
      </c>
      <c r="T72" s="189"/>
      <c r="U72" s="135"/>
      <c r="V72" s="278"/>
    </row>
    <row r="73" spans="1:22" x14ac:dyDescent="0.25">
      <c r="A73" s="181"/>
      <c r="B73" s="329"/>
      <c r="C73" s="330"/>
      <c r="D73" s="331"/>
      <c r="E73" s="332"/>
      <c r="F73" s="333"/>
      <c r="G73" s="334"/>
      <c r="H73" s="335"/>
      <c r="I73" s="335"/>
      <c r="J73" s="335"/>
      <c r="K73" s="335"/>
      <c r="L73" s="189"/>
      <c r="M73" s="520"/>
      <c r="N73" s="334"/>
      <c r="O73" s="334"/>
      <c r="P73" s="335"/>
      <c r="Q73" s="335"/>
      <c r="R73" s="335"/>
      <c r="S73" s="335"/>
      <c r="T73" s="189"/>
      <c r="U73" s="135"/>
      <c r="V73" s="278"/>
    </row>
    <row r="74" spans="1:22" x14ac:dyDescent="0.25">
      <c r="A74" s="181"/>
      <c r="B74" s="181"/>
      <c r="C74" s="181"/>
      <c r="D74" s="181"/>
      <c r="E74" s="181"/>
      <c r="F74" s="336"/>
      <c r="G74" s="181"/>
      <c r="H74" s="181"/>
      <c r="I74" s="181"/>
      <c r="J74" s="181"/>
      <c r="K74" s="181"/>
      <c r="L74" s="476"/>
      <c r="M74" s="181"/>
      <c r="N74" s="181"/>
      <c r="O74" s="181"/>
      <c r="P74" s="181"/>
      <c r="Q74" s="181"/>
      <c r="R74" s="181"/>
      <c r="S74" s="181"/>
      <c r="T74" s="476"/>
      <c r="U74" s="181"/>
      <c r="V74" s="278"/>
    </row>
    <row r="75" spans="1:22" x14ac:dyDescent="0.25">
      <c r="M75" s="278"/>
      <c r="N75" s="278"/>
      <c r="U75" s="278"/>
      <c r="V75" s="278"/>
    </row>
    <row r="76" spans="1:22" x14ac:dyDescent="0.25">
      <c r="M76" s="278"/>
      <c r="N76" s="278"/>
      <c r="U76" s="278"/>
      <c r="V76" s="278"/>
    </row>
    <row r="77" spans="1:22" x14ac:dyDescent="0.25">
      <c r="M77" s="278"/>
      <c r="N77" s="278"/>
      <c r="U77" s="278"/>
      <c r="V77" s="278"/>
    </row>
    <row r="78" spans="1:22" x14ac:dyDescent="0.25">
      <c r="M78" s="278"/>
      <c r="N78" s="278"/>
      <c r="U78" s="278"/>
      <c r="V78" s="278"/>
    </row>
    <row r="79" spans="1:22" x14ac:dyDescent="0.25">
      <c r="M79" s="278"/>
      <c r="N79" s="278"/>
      <c r="U79" s="278"/>
      <c r="V79" s="278"/>
    </row>
    <row r="80" spans="1:22" x14ac:dyDescent="0.25">
      <c r="M80" s="278"/>
      <c r="N80" s="278"/>
      <c r="U80" s="278"/>
      <c r="V80" s="278"/>
    </row>
    <row r="81" spans="13:22" x14ac:dyDescent="0.25">
      <c r="M81" s="278"/>
      <c r="N81" s="278"/>
      <c r="U81" s="278"/>
      <c r="V81" s="278"/>
    </row>
  </sheetData>
  <sheetProtection sheet="1" formatCells="0" formatColumns="0" formatRows="0"/>
  <mergeCells count="54">
    <mergeCell ref="O21:O22"/>
    <mergeCell ref="P21:P22"/>
    <mergeCell ref="Q21:Q22"/>
    <mergeCell ref="R21:R22"/>
    <mergeCell ref="S21:S22"/>
    <mergeCell ref="O19:O20"/>
    <mergeCell ref="P19:P20"/>
    <mergeCell ref="Q19:Q20"/>
    <mergeCell ref="R19:R20"/>
    <mergeCell ref="S19:S20"/>
    <mergeCell ref="O17:O18"/>
    <mergeCell ref="P17:P18"/>
    <mergeCell ref="Q17:Q18"/>
    <mergeCell ref="R17:R18"/>
    <mergeCell ref="S17:S18"/>
    <mergeCell ref="O15:O16"/>
    <mergeCell ref="P15:P16"/>
    <mergeCell ref="Q15:Q16"/>
    <mergeCell ref="R15:R16"/>
    <mergeCell ref="S15:S16"/>
    <mergeCell ref="O3:S11"/>
    <mergeCell ref="O13:O14"/>
    <mergeCell ref="P13:P14"/>
    <mergeCell ref="Q13:Q14"/>
    <mergeCell ref="R13:R14"/>
    <mergeCell ref="S13:S14"/>
    <mergeCell ref="I10:J11"/>
    <mergeCell ref="C6:K6"/>
    <mergeCell ref="I8:J8"/>
    <mergeCell ref="C55:C56"/>
    <mergeCell ref="C13:K13"/>
    <mergeCell ref="C29:C32"/>
    <mergeCell ref="C33:C35"/>
    <mergeCell ref="C39:C42"/>
    <mergeCell ref="C43:C45"/>
    <mergeCell ref="C49:C51"/>
    <mergeCell ref="C15:K15"/>
    <mergeCell ref="C17:K17"/>
    <mergeCell ref="C19:K19"/>
    <mergeCell ref="C21:K21"/>
    <mergeCell ref="C67:C68"/>
    <mergeCell ref="B71:B72"/>
    <mergeCell ref="B28:B29"/>
    <mergeCell ref="B30:B33"/>
    <mergeCell ref="B38:B39"/>
    <mergeCell ref="B40:B43"/>
    <mergeCell ref="B48:B49"/>
    <mergeCell ref="B50:B52"/>
    <mergeCell ref="B55:B56"/>
    <mergeCell ref="B67:B70"/>
    <mergeCell ref="B57:B63"/>
    <mergeCell ref="C69:C72"/>
    <mergeCell ref="C57:C61"/>
    <mergeCell ref="C62:C63"/>
  </mergeCells>
  <conditionalFormatting sqref="F4:F5 F36 F46 F28:F33 F7:F12 F38:F43 F66:F1048576 F48:F53 F55:F64">
    <cfRule type="containsText" dxfId="238" priority="37" operator="containsText" text="0">
      <formula>NOT(ISERROR(SEARCH("0",F4)))</formula>
    </cfRule>
  </conditionalFormatting>
  <conditionalFormatting sqref="F34:F35">
    <cfRule type="containsText" dxfId="237" priority="31" operator="containsText" text="0">
      <formula>NOT(ISERROR(SEARCH("0",F34)))</formula>
    </cfRule>
  </conditionalFormatting>
  <conditionalFormatting sqref="F44:F45">
    <cfRule type="containsText" dxfId="236" priority="29" operator="containsText" text="0">
      <formula>NOT(ISERROR(SEARCH("0",F44)))</formula>
    </cfRule>
  </conditionalFormatting>
  <conditionalFormatting sqref="F1 F3">
    <cfRule type="containsText" dxfId="235" priority="22" operator="containsText" text="0">
      <formula>NOT(ISERROR(SEARCH("0",F1)))</formula>
    </cfRule>
  </conditionalFormatting>
  <conditionalFormatting sqref="F2">
    <cfRule type="containsText" dxfId="234" priority="21" operator="containsText" text="0">
      <formula>NOT(ISERROR(SEARCH("0",F2)))</formula>
    </cfRule>
  </conditionalFormatting>
  <conditionalFormatting sqref="F27">
    <cfRule type="containsText" dxfId="233" priority="19" operator="containsText" text="0">
      <formula>NOT(ISERROR(SEARCH("0",F27)))</formula>
    </cfRule>
  </conditionalFormatting>
  <conditionalFormatting sqref="F37">
    <cfRule type="containsText" dxfId="232" priority="17" operator="containsText" text="0">
      <formula>NOT(ISERROR(SEARCH("0",F37)))</formula>
    </cfRule>
  </conditionalFormatting>
  <conditionalFormatting sqref="F47">
    <cfRule type="containsText" dxfId="231" priority="15" operator="containsText" text="0">
      <formula>NOT(ISERROR(SEARCH("0",F47)))</formula>
    </cfRule>
  </conditionalFormatting>
  <conditionalFormatting sqref="F54">
    <cfRule type="containsText" dxfId="230" priority="13" operator="containsText" text="0">
      <formula>NOT(ISERROR(SEARCH("0",F54)))</formula>
    </cfRule>
  </conditionalFormatting>
  <conditionalFormatting sqref="F65">
    <cfRule type="containsText" dxfId="229" priority="11" operator="containsText" text="0">
      <formula>NOT(ISERROR(SEARCH("0",F65)))</formula>
    </cfRule>
  </conditionalFormatting>
  <conditionalFormatting sqref="F14">
    <cfRule type="containsText" dxfId="228" priority="9" operator="containsText" text="0">
      <formula>NOT(ISERROR(SEARCH("0",F14)))</formula>
    </cfRule>
  </conditionalFormatting>
  <conditionalFormatting sqref="F16">
    <cfRule type="containsText" dxfId="227" priority="7" operator="containsText" text="0">
      <formula>NOT(ISERROR(SEARCH("0",F16)))</formula>
    </cfRule>
  </conditionalFormatting>
  <conditionalFormatting sqref="F18">
    <cfRule type="containsText" dxfId="226" priority="5" operator="containsText" text="0">
      <formula>NOT(ISERROR(SEARCH("0",F18)))</formula>
    </cfRule>
  </conditionalFormatting>
  <conditionalFormatting sqref="F20">
    <cfRule type="containsText" dxfId="225" priority="3" operator="containsText" text="0">
      <formula>NOT(ISERROR(SEARCH("0",F20)))</formula>
    </cfRule>
  </conditionalFormatting>
  <conditionalFormatting sqref="F26">
    <cfRule type="containsText" dxfId="224" priority="1" operator="containsText" text="0">
      <formula>NOT(ISERROR(SEARCH("0",F26)))</formula>
    </cfRule>
  </conditionalFormatting>
  <pageMargins left="0.7" right="0.7" top="0.75" bottom="0.75" header="0.3" footer="0.3"/>
  <pageSetup paperSize="9" scale="42" orientation="portrait" r:id="rId1"/>
  <rowBreaks count="1" manualBreakCount="1">
    <brk id="45" max="16383" man="1"/>
  </rowBreaks>
  <colBreaks count="1" manualBreakCount="1">
    <brk id="13" max="1048575" man="1"/>
  </colBreaks>
  <ignoredErrors>
    <ignoredError sqref="O28:S35 O38:S45 O48:S52 O55:S59 O67:S72 O63:S63"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8" id="{79FD6B73-7264-4789-BE5C-31E7DF7E0E3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F66:F1048576 F48:F53 F46 F36 F4:F5 F28:F33 F7:F12 F38:F43 F55:F64</xm:sqref>
        </x14:conditionalFormatting>
        <x14:conditionalFormatting xmlns:xm="http://schemas.microsoft.com/office/excel/2006/main">
          <x14:cfRule type="iconSet" priority="24" id="{3DEA875F-4EAC-4C46-B72B-051E11B90B0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3" id="{9AD6858C-A020-47F8-AB47-D2307C1D51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15687762-B620-47FE-BAB1-04989FDECB6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F27</xm:sqref>
        </x14:conditionalFormatting>
        <x14:conditionalFormatting xmlns:xm="http://schemas.microsoft.com/office/excel/2006/main">
          <x14:cfRule type="iconSet" priority="18" id="{5990CCFB-52D0-417D-8B76-4714BF6CFB6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F37</xm:sqref>
        </x14:conditionalFormatting>
        <x14:conditionalFormatting xmlns:xm="http://schemas.microsoft.com/office/excel/2006/main">
          <x14:cfRule type="iconSet" priority="16" id="{D8ABFA10-ABEB-486B-B054-8206E8A8396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F47</xm:sqref>
        </x14:conditionalFormatting>
        <x14:conditionalFormatting xmlns:xm="http://schemas.microsoft.com/office/excel/2006/main">
          <x14:cfRule type="iconSet" priority="14" id="{8417646C-9DDA-4974-A963-BFEEBD97EAC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xm:sqref>
        </x14:conditionalFormatting>
        <x14:conditionalFormatting xmlns:xm="http://schemas.microsoft.com/office/excel/2006/main">
          <x14:cfRule type="iconSet" priority="12" id="{A0D9ABB7-D061-4168-89D2-04A850FFD82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F65</xm:sqref>
        </x14:conditionalFormatting>
        <x14:conditionalFormatting xmlns:xm="http://schemas.microsoft.com/office/excel/2006/main">
          <x14:cfRule type="iconSet" priority="10" id="{07B3B622-30AA-476A-8E8C-2669D6DAD58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C7B84414-F8FA-4FA8-9404-114B08BACCF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C21F37D6-8BC6-46D0-8608-109E7DA51D6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D51850E1-6807-4D9F-8A88-546813A700E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A3AC76DC-8B91-4B23-9EC4-09FDD6E0B25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F26</xm:sqref>
        </x14:conditionalFormatting>
        <x14:conditionalFormatting xmlns:xm="http://schemas.microsoft.com/office/excel/2006/main">
          <x14:cfRule type="iconSet" priority="523" id="{05DA2670-A778-4FD8-95C2-97F0F6E8FD5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F34:F35</xm:sqref>
        </x14:conditionalFormatting>
        <x14:conditionalFormatting xmlns:xm="http://schemas.microsoft.com/office/excel/2006/main">
          <x14:cfRule type="iconSet" priority="532" id="{6239A956-0951-401E-AAEA-097B7D91FAF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F44:F45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Parameters!$B$18:$B$22</xm:f>
          </x14:formula1>
          <xm:sqref>G38:G45 G48:G52 G55:G63 G67:G72 G28:G35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2" tint="0.79998168889431442"/>
  </sheetPr>
  <dimension ref="A1:U62"/>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464"/>
      <c r="O2" s="806"/>
      <c r="P2" s="806"/>
      <c r="Q2" s="806"/>
      <c r="R2" s="806"/>
      <c r="S2" s="806"/>
      <c r="T2" s="807"/>
      <c r="U2" s="252"/>
    </row>
    <row r="3" spans="1:21" s="257" customFormat="1" ht="25.05" customHeight="1" x14ac:dyDescent="0.25">
      <c r="A3" s="252"/>
      <c r="B3" s="149"/>
      <c r="C3" s="150" t="s">
        <v>64</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8"/>
      <c r="O3" s="1184" t="str">
        <f>VLOOKUP($C$3,Infoimport!$B$4:$C$14,2,FALSE)</f>
        <v xml:space="preserve">THREAT, tiedot Infoimport-välilehdeltä
</v>
      </c>
      <c r="P3" s="1184"/>
      <c r="Q3" s="1184"/>
      <c r="R3" s="1184"/>
      <c r="S3" s="1184"/>
      <c r="T3" s="809"/>
      <c r="U3" s="252"/>
    </row>
    <row r="4" spans="1:21" s="318" customFormat="1" ht="25.05" customHeight="1" x14ac:dyDescent="0.3">
      <c r="A4" s="316"/>
      <c r="B4" s="317"/>
      <c r="C4" s="155" t="str">
        <f>IF(VLOOKUP($C$3,Languages!$A:$D,1,TRUE)=$C$3,VLOOKUP($C$3,Languages!$A:$D,Summary!$C$7,TRUE),NA())</f>
        <v>Uhkien ja haavoittuvuuksien hallinta (THREAT)</v>
      </c>
      <c r="D4" s="258"/>
      <c r="E4" s="259"/>
      <c r="F4" s="320"/>
      <c r="G4" s="319"/>
      <c r="H4" s="261" t="str">
        <f ca="1">VLOOKUP(VLOOKUP(CONCATENATE($C$3),Data!$K:$O,5,FALSE),Parameters!$C$7:$F$10,Summary!$C$7,FALSE)</f>
        <v>Kypsyystaso 0</v>
      </c>
      <c r="I4" s="697"/>
      <c r="J4" s="262"/>
      <c r="K4" s="148"/>
      <c r="L4" s="154"/>
      <c r="M4" s="316"/>
      <c r="N4" s="808"/>
      <c r="O4" s="1184"/>
      <c r="P4" s="1184"/>
      <c r="Q4" s="1184"/>
      <c r="R4" s="1184"/>
      <c r="S4" s="1184"/>
      <c r="T4" s="809"/>
      <c r="U4" s="252"/>
    </row>
    <row r="5" spans="1:21" ht="10.050000000000001" customHeight="1" x14ac:dyDescent="0.25">
      <c r="A5" s="178"/>
      <c r="B5" s="308"/>
      <c r="C5" s="321"/>
      <c r="D5" s="322"/>
      <c r="E5" s="322"/>
      <c r="F5" s="261"/>
      <c r="G5" s="261"/>
      <c r="H5" s="797"/>
      <c r="I5" s="458"/>
      <c r="J5" s="262"/>
      <c r="K5" s="148"/>
      <c r="L5" s="154"/>
      <c r="M5" s="178"/>
      <c r="N5" s="808"/>
      <c r="O5" s="1184"/>
      <c r="P5" s="1184"/>
      <c r="Q5" s="1184"/>
      <c r="R5" s="1184"/>
      <c r="S5" s="1184"/>
      <c r="T5" s="809"/>
      <c r="U5" s="252"/>
    </row>
    <row r="6" spans="1:21" ht="109.95" customHeight="1" x14ac:dyDescent="0.2">
      <c r="A6" s="178"/>
      <c r="B6" s="308"/>
      <c r="C6" s="1204" t="str">
        <f>IF(VLOOKUP(CONCATENATE(C3,"-0"),Languages!$A:$D,1,TRUE)=CONCATENATE(C3,"-0"),VLOOKUP(CONCATENATE(C3,"-0"),Languages!$A:$D,Summary!$C$7,TRUE),NA())</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D6" s="1204"/>
      <c r="E6" s="1204"/>
      <c r="F6" s="1204"/>
      <c r="G6" s="1204"/>
      <c r="H6" s="1204"/>
      <c r="I6" s="1204"/>
      <c r="J6" s="1204"/>
      <c r="K6" s="1204"/>
      <c r="L6" s="154"/>
      <c r="M6" s="178"/>
      <c r="N6" s="808"/>
      <c r="O6" s="1184"/>
      <c r="P6" s="1184"/>
      <c r="Q6" s="1184"/>
      <c r="R6" s="1184"/>
      <c r="S6" s="1184"/>
      <c r="T6" s="809"/>
      <c r="U6" s="252"/>
    </row>
    <row r="7" spans="1:21" ht="14.4" customHeight="1" x14ac:dyDescent="0.2">
      <c r="A7" s="178"/>
      <c r="B7" s="308"/>
      <c r="C7" s="264">
        <v>1</v>
      </c>
      <c r="D7" s="265" t="s">
        <v>1</v>
      </c>
      <c r="E7" s="266" t="str">
        <f>IF(VLOOKUP(CONCATENATE($C$3,"-",C7),Languages!$A:$D,1,TRUE)=CONCATENATE($C$3,"-",C7),VLOOKUP(CONCATENATE($C$3,"-",C7),Languages!$A:$D,Summary!$C$7,TRUE),NA())</f>
        <v>Haavoittuvuuksien vähentäminen</v>
      </c>
      <c r="H7" s="267" t="str">
        <f ca="1">VLOOKUP(VLOOKUP(CONCATENATE($C$3,"-",$C7),Data!$K:$O,5,FALSE),Parameters!$C$7:$F$10,Summary!$C$7,FALSE)</f>
        <v>Kypsyystaso 0</v>
      </c>
      <c r="I7" s="465" t="str">
        <f>IF(VLOOKUP("KM110",Languages!$A:$D,1,TRUE)="KM110",VLOOKUP("KM110",Languages!$A:$D,Summary!$C$7,TRUE),NA())</f>
        <v>Päivämäärä</v>
      </c>
      <c r="J7" s="439"/>
      <c r="K7" s="148"/>
      <c r="L7" s="154"/>
      <c r="M7" s="178"/>
      <c r="N7" s="808"/>
      <c r="O7" s="1184"/>
      <c r="P7" s="1184"/>
      <c r="Q7" s="1184"/>
      <c r="R7" s="1184"/>
      <c r="S7" s="1184"/>
      <c r="T7" s="809"/>
      <c r="U7" s="252"/>
    </row>
    <row r="8" spans="1:21" ht="14.4" customHeight="1" x14ac:dyDescent="0.25">
      <c r="A8" s="178"/>
      <c r="B8" s="308"/>
      <c r="C8" s="264">
        <v>2</v>
      </c>
      <c r="D8" s="265" t="s">
        <v>1</v>
      </c>
      <c r="E8" s="266" t="str">
        <f>IF(VLOOKUP(CONCATENATE($C$3,"-",C8),Languages!$A:$D,1,TRUE)=CONCATENATE($C$3,"-",C8),VLOOKUP(CONCATENATE($C$3,"-",C8),Languages!$A:$D,Summary!$C$7,TRUE),NA())</f>
        <v>Uhkien torjunta ja uhkatiedon jakaminen</v>
      </c>
      <c r="F8" s="324"/>
      <c r="H8" s="267" t="str">
        <f ca="1">VLOOKUP(VLOOKUP(CONCATENATE($C$3,"-",$C8),Data!$K:$O,5,FALSE),Parameters!$C$7:$F$10,Summary!$C$7,FALSE)</f>
        <v>Kypsyystaso 0</v>
      </c>
      <c r="I8" s="1213"/>
      <c r="J8" s="1206"/>
      <c r="K8" s="148"/>
      <c r="L8" s="154"/>
      <c r="M8" s="178"/>
      <c r="N8" s="808"/>
      <c r="O8" s="1184"/>
      <c r="P8" s="1184"/>
      <c r="Q8" s="1184"/>
      <c r="R8" s="1184"/>
      <c r="S8" s="1184"/>
      <c r="T8" s="809"/>
      <c r="U8" s="252"/>
    </row>
    <row r="9" spans="1:21" ht="14.4" customHeight="1" x14ac:dyDescent="0.2">
      <c r="A9" s="178"/>
      <c r="B9" s="308"/>
      <c r="C9" s="264">
        <v>3</v>
      </c>
      <c r="D9" s="265" t="s">
        <v>1</v>
      </c>
      <c r="E9" s="266" t="str">
        <f>IF(VLOOKUP(CONCATENATE($C$3,"-",C9),Languages!$A:$D,1,TRUE)=CONCATENATE($C$3,"-",C9),VLOOKUP(CONCATENATE($C$3,"-",C9),Languages!$A:$D,Summary!$C$7,TRUE),NA())</f>
        <v>Yleisiä hallintatoimia</v>
      </c>
      <c r="F9" s="325"/>
      <c r="H9" s="267" t="str">
        <f ca="1">VLOOKUP(VLOOKUP(CONCATENATE($C$3,"-",$C9),Data!$K:$O,5,FALSE),Parameters!$C$7:$F$10,Summary!$C$7,FALSE)</f>
        <v>Kypsyystaso 1</v>
      </c>
      <c r="I9" s="465" t="str">
        <f>IF(VLOOKUP("KM111",Languages!$A:$D,1,TRUE)="KM111",VLOOKUP("KM111",Languages!$A:$D,Summary!$C$7,TRUE),NA())</f>
        <v>Osallistujat</v>
      </c>
      <c r="J9" s="439"/>
      <c r="K9" s="148"/>
      <c r="L9" s="154"/>
      <c r="M9" s="178"/>
      <c r="N9" s="808"/>
      <c r="O9" s="1184"/>
      <c r="P9" s="1184"/>
      <c r="Q9" s="1184"/>
      <c r="R9" s="1184"/>
      <c r="S9" s="1184"/>
      <c r="T9" s="809"/>
      <c r="U9" s="252"/>
    </row>
    <row r="10" spans="1:21" ht="14.4" customHeight="1" x14ac:dyDescent="0.2">
      <c r="A10" s="178"/>
      <c r="B10" s="308"/>
      <c r="C10" s="264"/>
      <c r="D10" s="265"/>
      <c r="E10" s="266"/>
      <c r="F10" s="325"/>
      <c r="H10" s="267"/>
      <c r="I10" s="1194"/>
      <c r="J10" s="1195"/>
      <c r="K10" s="148"/>
      <c r="L10" s="154"/>
      <c r="M10" s="178"/>
      <c r="N10" s="808"/>
      <c r="O10" s="1184"/>
      <c r="P10" s="1184"/>
      <c r="Q10" s="1184"/>
      <c r="R10" s="1184"/>
      <c r="S10" s="1184"/>
      <c r="T10" s="809"/>
      <c r="U10" s="252"/>
    </row>
    <row r="11" spans="1:21" ht="14.4" customHeight="1" x14ac:dyDescent="0.2">
      <c r="A11" s="178"/>
      <c r="B11" s="308"/>
      <c r="C11" s="264"/>
      <c r="D11" s="265"/>
      <c r="E11" s="266"/>
      <c r="F11" s="325"/>
      <c r="H11" s="267"/>
      <c r="I11" s="1196"/>
      <c r="J11" s="1197"/>
      <c r="K11" s="148"/>
      <c r="L11" s="154"/>
      <c r="M11" s="178"/>
      <c r="N11" s="808"/>
      <c r="O11" s="1184"/>
      <c r="P11" s="1184"/>
      <c r="Q11" s="1184"/>
      <c r="R11" s="1184"/>
      <c r="S11" s="1184"/>
      <c r="T11" s="809"/>
      <c r="U11" s="252"/>
    </row>
    <row r="12" spans="1:21" s="177" customFormat="1" ht="30" customHeight="1" x14ac:dyDescent="0.25">
      <c r="A12" s="166"/>
      <c r="B12" s="269"/>
      <c r="C12" s="170">
        <v>1</v>
      </c>
      <c r="D12" s="170" t="str">
        <f>IF(VLOOKUP(CONCATENATE($C$3,"-",C12),Languages!$A:$D,1,TRUE)=CONCATENATE($C$3,"-",C12),VLOOKUP(CONCATENATE($C$3,"-",C12),Languages!$A:$D,Summary!$C$7,TRUE),NA())</f>
        <v>Haavoittuvuuksien vähentäminen</v>
      </c>
      <c r="E12" s="170"/>
      <c r="F12" s="271"/>
      <c r="G12" s="271"/>
      <c r="H12" s="271"/>
      <c r="I12" s="499"/>
      <c r="J12" s="499"/>
      <c r="K12" s="271"/>
      <c r="L12" s="154"/>
      <c r="M12" s="166"/>
      <c r="N12" s="808"/>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09"/>
      <c r="U12" s="252"/>
    </row>
    <row r="13" spans="1:21" s="278" customFormat="1" ht="49.95" customHeight="1" x14ac:dyDescent="0.2">
      <c r="A13" s="275"/>
      <c r="B13" s="276"/>
      <c r="C13" s="1198" t="str">
        <f>IF(VLOOKUP(CONCATENATE($C$3,"-",$C12,"-0"),Languages!$A:$D,1,TRUE)=CONCATENATE($C$3,"-",$C12,"-0"),VLOOKUP(CONCATENATE($C$3,"-",$C12,"-0"),Languages!$A:$D,Summary!$C$7,TRUE),NA())</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D13" s="1198"/>
      <c r="E13" s="1198"/>
      <c r="F13" s="1198"/>
      <c r="G13" s="1198"/>
      <c r="H13" s="1198"/>
      <c r="I13" s="1198"/>
      <c r="J13" s="1198"/>
      <c r="K13" s="1198"/>
      <c r="L13" s="154"/>
      <c r="M13" s="275"/>
      <c r="N13" s="808"/>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09"/>
      <c r="U13" s="252"/>
    </row>
    <row r="14" spans="1:21" s="177" customFormat="1" ht="30" customHeight="1" x14ac:dyDescent="0.25">
      <c r="A14" s="166"/>
      <c r="B14" s="269"/>
      <c r="C14" s="170">
        <v>2</v>
      </c>
      <c r="D14" s="170" t="str">
        <f>IF(VLOOKUP(CONCATENATE($C$3,"-",C14),Languages!$A:$D,1,TRUE)=CONCATENATE($C$3,"-",C14),VLOOKUP(CONCATENATE($C$3,"-",C14),Languages!$A:$D,Summary!$C$7,TRUE),NA())</f>
        <v>Uhkien torjunta ja uhkatiedon jakaminen</v>
      </c>
      <c r="E14" s="170"/>
      <c r="F14" s="292"/>
      <c r="G14" s="292" t="s">
        <v>16</v>
      </c>
      <c r="H14" s="293"/>
      <c r="I14" s="293"/>
      <c r="J14" s="293"/>
      <c r="K14" s="293"/>
      <c r="L14" s="154"/>
      <c r="M14" s="166"/>
      <c r="N14" s="808"/>
      <c r="O14" s="1203"/>
      <c r="P14" s="1185"/>
      <c r="Q14" s="1185"/>
      <c r="R14" s="1185"/>
      <c r="S14" s="1185"/>
      <c r="T14" s="809"/>
      <c r="U14" s="252"/>
    </row>
    <row r="15" spans="1:21" s="278" customFormat="1" ht="65.400000000000006" customHeight="1" x14ac:dyDescent="0.2">
      <c r="A15" s="275"/>
      <c r="B15" s="276"/>
      <c r="C15" s="1216" t="str">
        <f>IF(VLOOKUP(CONCATENATE($C$3,"-",$C14,"-0"),Languages!$A:$D,1,TRUE)=CONCATENATE($C$3,"-",$C14,"-0"),VLOOKUP(CONCATENATE($C$3,"-",$C14,"-0"),Languages!$A:$D,Summary!$C$7,TRUE),NA())</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D15" s="1216"/>
      <c r="E15" s="1216"/>
      <c r="F15" s="1216"/>
      <c r="G15" s="1216"/>
      <c r="H15" s="1216"/>
      <c r="I15" s="1216"/>
      <c r="J15" s="1216"/>
      <c r="K15" s="1216"/>
      <c r="L15" s="154"/>
      <c r="M15" s="275"/>
      <c r="N15" s="808"/>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09"/>
      <c r="U15" s="252"/>
    </row>
    <row r="16" spans="1:21" s="177" customFormat="1" ht="30" customHeight="1" x14ac:dyDescent="0.25">
      <c r="A16" s="166"/>
      <c r="B16" s="269"/>
      <c r="C16" s="170">
        <v>3</v>
      </c>
      <c r="D16" s="170" t="str">
        <f>IF(VLOOKUP(CONCATENATE($C$3,"-",C16),Languages!$A:$D,1,TRUE)=CONCATENATE($C$3,"-",C16),VLOOKUP(CONCATENATE($C$3,"-",C16),Languages!$A:$D,Summary!$C$7,TRUE),NA())</f>
        <v>Yleisiä hallintatoimia</v>
      </c>
      <c r="E16" s="170"/>
      <c r="F16" s="292"/>
      <c r="G16" s="292" t="s">
        <v>16</v>
      </c>
      <c r="H16" s="293"/>
      <c r="I16" s="293"/>
      <c r="J16" s="293"/>
      <c r="K16" s="293"/>
      <c r="L16" s="154"/>
      <c r="M16" s="166"/>
      <c r="N16" s="808"/>
      <c r="O16" s="1203"/>
      <c r="P16" s="1185"/>
      <c r="Q16" s="1185"/>
      <c r="R16" s="1185"/>
      <c r="S16" s="1185"/>
      <c r="T16" s="809"/>
      <c r="U16" s="252"/>
    </row>
    <row r="17" spans="1:21" s="278" customFormat="1" ht="44.4" customHeight="1" x14ac:dyDescent="0.2">
      <c r="A17" s="305"/>
      <c r="B17" s="306"/>
      <c r="C17" s="1216"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16"/>
      <c r="E17" s="1216"/>
      <c r="F17" s="1216"/>
      <c r="G17" s="1216"/>
      <c r="H17" s="1216"/>
      <c r="I17" s="1216"/>
      <c r="J17" s="1216"/>
      <c r="K17" s="1216"/>
      <c r="L17" s="154"/>
      <c r="M17" s="305"/>
      <c r="N17" s="808"/>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09"/>
      <c r="U17" s="252"/>
    </row>
    <row r="18" spans="1:21" s="278" customFormat="1" ht="44.4" customHeight="1" x14ac:dyDescent="0.2">
      <c r="A18" s="305"/>
      <c r="B18" s="306"/>
      <c r="C18" s="1116"/>
      <c r="D18" s="1116"/>
      <c r="E18" s="1116"/>
      <c r="F18" s="1116"/>
      <c r="G18" s="1116"/>
      <c r="H18" s="1116"/>
      <c r="I18" s="1116"/>
      <c r="J18" s="1116"/>
      <c r="K18" s="1116"/>
      <c r="L18" s="154"/>
      <c r="M18" s="305"/>
      <c r="N18" s="1125"/>
      <c r="O18" s="1203"/>
      <c r="P18" s="1185"/>
      <c r="Q18" s="1185"/>
      <c r="R18" s="1185"/>
      <c r="S18" s="1185"/>
      <c r="T18" s="1125"/>
      <c r="U18" s="252"/>
    </row>
    <row r="19" spans="1:21" s="278" customFormat="1" ht="44.4" customHeight="1" x14ac:dyDescent="0.2">
      <c r="A19" s="305"/>
      <c r="B19" s="1121"/>
      <c r="C19" s="1122"/>
      <c r="D19" s="1122"/>
      <c r="E19" s="1122"/>
      <c r="F19" s="1122"/>
      <c r="G19" s="1122"/>
      <c r="H19" s="1122"/>
      <c r="I19" s="1122"/>
      <c r="J19" s="1122"/>
      <c r="K19" s="1122"/>
      <c r="L19" s="1123"/>
      <c r="M19" s="305"/>
      <c r="N19" s="810"/>
      <c r="O19" s="1117"/>
      <c r="P19" s="1117"/>
      <c r="Q19" s="1117"/>
      <c r="R19" s="1117"/>
      <c r="S19" s="1117"/>
      <c r="T19" s="811"/>
      <c r="U19" s="252"/>
    </row>
    <row r="20" spans="1:21" s="278" customFormat="1" ht="18" customHeight="1" x14ac:dyDescent="0.25">
      <c r="A20" s="305"/>
      <c r="B20" s="655"/>
      <c r="C20" s="655"/>
      <c r="D20" s="655"/>
      <c r="E20" s="655"/>
      <c r="F20" s="655"/>
      <c r="G20" s="655"/>
      <c r="H20" s="655"/>
      <c r="I20" s="655"/>
      <c r="J20" s="655"/>
      <c r="K20" s="655"/>
      <c r="L20" s="656"/>
      <c r="M20" s="135"/>
      <c r="N20" s="135"/>
      <c r="O20" s="251"/>
      <c r="P20" s="250"/>
      <c r="Q20" s="771"/>
      <c r="R20" s="250"/>
      <c r="S20" s="250"/>
      <c r="T20" s="135"/>
      <c r="U20" s="135"/>
    </row>
    <row r="21" spans="1:21" s="278" customFormat="1" ht="19.95" customHeight="1" x14ac:dyDescent="0.2">
      <c r="A21" s="305"/>
      <c r="B21" s="649"/>
      <c r="C21" s="647"/>
      <c r="D21" s="647"/>
      <c r="E21" s="647"/>
      <c r="F21" s="647"/>
      <c r="G21" s="647"/>
      <c r="H21" s="647"/>
      <c r="I21" s="647"/>
      <c r="J21" s="647"/>
      <c r="K21" s="647"/>
      <c r="L21" s="648"/>
      <c r="M21" s="252"/>
      <c r="N21" s="464" t="str">
        <f>IF(VLOOKUP("KM116",Languages!$A:$D,1,TRUE)="KM116",VLOOKUP("KM116",Languages!$A:$D,Summary!$C$7,TRUE),NA())</f>
        <v>EDELLINEN ARVIOINTI</v>
      </c>
      <c r="O21" s="430"/>
      <c r="P21" s="255"/>
      <c r="Q21" s="772" t="str">
        <f>IF(VLOOKUP("KM110",Languages!$A:$D,1,TRUE)="KM110",VLOOKUP("KM110",Languages!$A:$D,Summary!$C$7,TRUE),NA())</f>
        <v>Päivämäärä</v>
      </c>
      <c r="R21" s="255"/>
      <c r="S21" s="255"/>
      <c r="T21" s="147"/>
      <c r="U21" s="252"/>
    </row>
    <row r="22" spans="1:21" s="177" customFormat="1" ht="19.95" customHeight="1" x14ac:dyDescent="0.25">
      <c r="A22" s="166"/>
      <c r="B22" s="269"/>
      <c r="C22" s="170">
        <v>1</v>
      </c>
      <c r="D22" s="170" t="str">
        <f>IF(VLOOKUP(CONCATENATE($C$3,"-",C22),Languages!$A:$D,1,TRUE)=CONCATENATE($C$3,"-",C22),VLOOKUP(CONCATENATE($C$3,"-",C22),Languages!$A:$D,Summary!$C$7,TRUE),NA())</f>
        <v>Haavoittuvuuksien vähentäminen</v>
      </c>
      <c r="E22" s="170"/>
      <c r="F22" s="271"/>
      <c r="G22" s="271"/>
      <c r="H22" s="271"/>
      <c r="I22" s="499"/>
      <c r="J22" s="499"/>
      <c r="K22" s="271"/>
      <c r="L22" s="154"/>
      <c r="M22" s="305"/>
      <c r="N22" s="306"/>
      <c r="O22" s="431"/>
      <c r="P22" s="426"/>
      <c r="Q22" s="697"/>
      <c r="R22" s="770"/>
      <c r="S22" s="770"/>
      <c r="T22" s="277"/>
      <c r="U22" s="305"/>
    </row>
    <row r="23" spans="1:21" s="285" customFormat="1" ht="19.95" customHeight="1" x14ac:dyDescent="0.2">
      <c r="A23" s="304"/>
      <c r="B23" s="279"/>
      <c r="C23" s="280" t="str">
        <f>IF(VLOOKUP("GEN-LEVEL",Languages!$A:$D,1,TRUE)="GEN-LEVEL",VLOOKUP("GEN-LEVEL",Languages!$A:$D,Summary!$C$7,TRUE),NA())</f>
        <v>Taso</v>
      </c>
      <c r="D23" s="280"/>
      <c r="E23" s="281" t="str">
        <f>IF(VLOOKUP("GEN-PRACTICE",Languages!$A:$D,1,TRUE)="GEN-PRACTICE",VLOOKUP("GEN-PRACTICE",Languages!$A:$D,Summary!$C$7,TRUE),NA())</f>
        <v>Käytäntö</v>
      </c>
      <c r="F23" s="282"/>
      <c r="G23" s="904" t="str">
        <f>IF(VLOOKUP("GEN-ANSWER",Languages!$A:$D,1,TRUE)="GEN-ANSWER",VLOOKUP("GEN-ANSWER",Languages!$A:$D,Summary!$C$7,TRUE),NA())</f>
        <v>Vastaus</v>
      </c>
      <c r="H23" s="905" t="str">
        <f>IF(VLOOKUP("KM112",Languages!$A:$D,1,TRUE)="KM112",VLOOKUP("KM112",Languages!$A:$D,Summary!$C$7,TRUE),NA())</f>
        <v>Kommentit</v>
      </c>
      <c r="I23" s="905" t="str">
        <f>IF(VLOOKUP("KM113",Languages!$A:$D,1,TRUE)="KM113",VLOOKUP("KM113",Languages!$A:$D,Summary!$C$7,TRUE),NA())</f>
        <v>Sisäinen viittaus</v>
      </c>
      <c r="J23" s="905" t="str">
        <f>IF(VLOOKUP("KM114",Languages!$A:$D,1,TRUE)="KM114",VLOOKUP("KM114",Languages!$A:$D,Summary!$C$7,TRUE),NA())</f>
        <v>Ulkoinen viittaus</v>
      </c>
      <c r="K23" s="905" t="str">
        <f>IF(VLOOKUP("KM115",Languages!$A:$D,1,TRUE)="KM115",VLOOKUP("KM115",Languages!$A:$D,Summary!$C$7,TRUE),NA())</f>
        <v>Kehityskohde</v>
      </c>
      <c r="L23" s="283"/>
      <c r="M23" s="284"/>
      <c r="N23" s="279"/>
      <c r="O23" s="463" t="str">
        <f>IF(VLOOKUP("GEN-ANSWER",Languages!$A:$D,1,TRUE)="GEN-ANSWER",VLOOKUP("GEN-ANSWER",Languages!$A:$D,Summary!$C$7,TRUE),NA())</f>
        <v>Vastaus</v>
      </c>
      <c r="P23" s="463" t="str">
        <f>IF(VLOOKUP("KM112",Languages!$A:$D,1,TRUE)="KM112",VLOOKUP("KM112",Languages!$A:$D,Summary!$C$7,TRUE),NA())</f>
        <v>Kommentit</v>
      </c>
      <c r="Q23" s="463" t="str">
        <f>IF(VLOOKUP("KM113",Languages!$A:$D,1,TRUE)="KM113",VLOOKUP("KM113",Languages!$A:$D,Summary!$C$7,TRUE),NA())</f>
        <v>Sisäinen viittaus</v>
      </c>
      <c r="R23" s="463" t="str">
        <f>IF(VLOOKUP("KM114",Languages!$A:$D,1,TRUE)="KM114",VLOOKUP("KM114",Languages!$A:$D,Summary!$C$7,TRUE),NA())</f>
        <v>Ulkoinen viittaus</v>
      </c>
      <c r="S23" s="463" t="str">
        <f>IF(VLOOKUP("KM115",Languages!$A:$D,1,TRUE)="KM115",VLOOKUP("KM115",Languages!$A:$D,Summary!$C$7,TRUE),NA())</f>
        <v>Kehityskohde</v>
      </c>
      <c r="T23" s="283"/>
      <c r="U23" s="284"/>
    </row>
    <row r="24" spans="1:21" s="289" customFormat="1" ht="47.4" customHeight="1" x14ac:dyDescent="0.2">
      <c r="A24" s="275"/>
      <c r="B24" s="1190"/>
      <c r="C24" s="1223">
        <v>1</v>
      </c>
      <c r="D24" s="387" t="s">
        <v>5</v>
      </c>
      <c r="E24" s="467" t="str">
        <f>IF(VLOOKUP(CONCATENATE($C$3,"-",$D24),Languages!$A:$D,1,TRUE)=CONCATENATE($C$3,"-",$D24),VLOOKUP(CONCATENATE($C$3,"-",$D24),Languages!$A:$D,Summary!$C$7,TRUE),NA())</f>
        <v>Haavoittuvuuksien tunnistamisen tueksi on tunnistettu soveltuvia tietolähteitä. Tasolla 1 tämän ei tarvitse olla systemaattista ja säännöllistä.</v>
      </c>
      <c r="F24" s="386">
        <f t="shared" ref="F24:F36" si="0">IFERROR(INT(LEFT($G24,1)),0)</f>
        <v>0</v>
      </c>
      <c r="G24" s="445" t="s">
        <v>2542</v>
      </c>
      <c r="H24" s="446"/>
      <c r="I24" s="446"/>
      <c r="J24" s="446"/>
      <c r="K24" s="447"/>
      <c r="L24" s="154"/>
      <c r="M24" s="275"/>
      <c r="N24" s="1190"/>
      <c r="O24" s="889" t="str">
        <f>VLOOKUP(VLOOKUP($C$3&amp;"-"&amp;$D24,Import!$C:$D,2,FALSE),Parameters!$C$18:$F$22,Summary!$C$7,FALSE)</f>
        <v xml:space="preserve">0 - Vastaus puuttuu </v>
      </c>
      <c r="P24" s="931" t="str">
        <f>IF(VLOOKUP($C$3&amp;"-"&amp;$D24,Import!$C:$H,3,FALSE)=0,"",VLOOKUP($C$3&amp;"-"&amp;$D24,Import!$C:$H,3,FALSE))</f>
        <v/>
      </c>
      <c r="Q24" s="931" t="str">
        <f>IF(VLOOKUP($C$3&amp;"-"&amp;$D24,Import!$C:$H,4,FALSE)=0,"",VLOOKUP($C$3&amp;"-"&amp;$D24,Import!$C:$H,4,FALSE))</f>
        <v/>
      </c>
      <c r="R24" s="931" t="str">
        <f>IF(VLOOKUP($C$3&amp;"-"&amp;$D24,Import!$C:$H,5,FALSE)=0,"",VLOOKUP($C$3&amp;"-"&amp;$D24,Import!$C:$H,5,FALSE))</f>
        <v/>
      </c>
      <c r="S24" s="932" t="str">
        <f>IF(VLOOKUP($C$3&amp;"-"&amp;$D24,Import!$C:$H,6,FALSE)=0,"",VLOOKUP($C$3&amp;"-"&amp;$D24,Import!$C:$H,6,FALSE))</f>
        <v/>
      </c>
      <c r="T24" s="154"/>
      <c r="U24" s="252"/>
    </row>
    <row r="25" spans="1:21" s="289" customFormat="1" ht="34.950000000000003" customHeight="1" x14ac:dyDescent="0.2">
      <c r="A25" s="275"/>
      <c r="B25" s="1190"/>
      <c r="C25" s="1224"/>
      <c r="D25" s="286" t="s">
        <v>7</v>
      </c>
      <c r="E25" s="468" t="str">
        <f>IF(VLOOKUP(CONCATENATE($C$3,"-",$D25),Languages!$A:$D,1,TRUE)=CONCATENATE($C$3,"-",$D25),VLOOKUP(CONCATENATE($C$3,"-",$D25),Languages!$A:$D,Summary!$C$7,TRUE),NA())</f>
        <v>Haavoittuvuustietoa kerätään ja sitä tulkitaan toimintoa varten. Tasolla 1 tämän ei tarvitse olla systemaattista ja säännöllistä.</v>
      </c>
      <c r="F25" s="287">
        <f t="shared" si="0"/>
        <v>0</v>
      </c>
      <c r="G25" s="307" t="s">
        <v>2542</v>
      </c>
      <c r="H25" s="440"/>
      <c r="I25" s="440"/>
      <c r="J25" s="440"/>
      <c r="K25" s="448"/>
      <c r="L25" s="154"/>
      <c r="M25" s="275"/>
      <c r="N25" s="1190"/>
      <c r="O25" s="892" t="str">
        <f>VLOOKUP(VLOOKUP($C$3&amp;"-"&amp;$D25,Import!$C:$D,2,FALSE),Parameters!$C$18:$F$22,Summary!$C$7,FALSE)</f>
        <v xml:space="preserve">0 - Vastaus puuttuu </v>
      </c>
      <c r="P25" s="914" t="str">
        <f>IF(VLOOKUP($C$3&amp;"-"&amp;$D25,Import!$C:$H,3,FALSE)=0,"",VLOOKUP($C$3&amp;"-"&amp;$D25,Import!$C:$H,3,FALSE))</f>
        <v/>
      </c>
      <c r="Q25" s="914" t="str">
        <f>IF(VLOOKUP($C$3&amp;"-"&amp;$D25,Import!$C:$H,4,FALSE)=0,"",VLOOKUP($C$3&amp;"-"&amp;$D25,Import!$C:$H,4,FALSE))</f>
        <v/>
      </c>
      <c r="R25" s="914" t="str">
        <f>IF(VLOOKUP($C$3&amp;"-"&amp;$D25,Import!$C:$H,5,FALSE)=0,"",VLOOKUP($C$3&amp;"-"&amp;$D25,Import!$C:$H,5,FALSE))</f>
        <v/>
      </c>
      <c r="S25" s="915" t="str">
        <f>IF(VLOOKUP($C$3&amp;"-"&amp;$D25,Import!$C:$H,6,FALSE)=0,"",VLOOKUP($C$3&amp;"-"&amp;$D25,Import!$C:$H,6,FALSE))</f>
        <v/>
      </c>
      <c r="T25" s="154"/>
      <c r="U25" s="252"/>
    </row>
    <row r="26" spans="1:21" s="289" customFormat="1" ht="46.2" customHeight="1" x14ac:dyDescent="0.2">
      <c r="A26" s="275"/>
      <c r="B26" s="1190"/>
      <c r="C26" s="1224"/>
      <c r="D26" s="286" t="s">
        <v>8</v>
      </c>
      <c r="E26" s="468" t="str">
        <f>IF(VLOOKUP(CONCATENATE($C$3,"-",$D26),Languages!$A:$D,1,TRUE)=CONCATENATE($C$3,"-",$D26),VLOOKUP(CONCATENATE($C$3,"-",$D26),Languages!$A:$D,Summary!$C$7,TRUE),NA())</f>
        <v>Haavoittuvuusarviointeja suoritetaan. Tasolla 1 tämän ei tarvitse olla systemaattista ja säännöllistä.</v>
      </c>
      <c r="F26" s="287">
        <f t="shared" si="0"/>
        <v>0</v>
      </c>
      <c r="G26" s="307" t="s">
        <v>2542</v>
      </c>
      <c r="H26" s="440"/>
      <c r="I26" s="440"/>
      <c r="J26" s="440"/>
      <c r="K26" s="448"/>
      <c r="L26" s="154"/>
      <c r="M26" s="275"/>
      <c r="N26" s="1190"/>
      <c r="O26" s="892" t="str">
        <f>VLOOKUP(VLOOKUP($C$3&amp;"-"&amp;$D26,Import!$C:$D,2,FALSE),Parameters!$C$18:$F$22,Summary!$C$7,FALSE)</f>
        <v xml:space="preserve">0 - Vastaus puuttuu </v>
      </c>
      <c r="P26" s="914" t="str">
        <f>IF(VLOOKUP($C$3&amp;"-"&amp;$D26,Import!$C:$H,3,FALSE)=0,"",VLOOKUP($C$3&amp;"-"&amp;$D26,Import!$C:$H,3,FALSE))</f>
        <v/>
      </c>
      <c r="Q26" s="914" t="str">
        <f>IF(VLOOKUP($C$3&amp;"-"&amp;$D26,Import!$C:$H,4,FALSE)=0,"",VLOOKUP($C$3&amp;"-"&amp;$D26,Import!$C:$H,4,FALSE))</f>
        <v/>
      </c>
      <c r="R26" s="914" t="str">
        <f>IF(VLOOKUP($C$3&amp;"-"&amp;$D26,Import!$C:$H,5,FALSE)=0,"",VLOOKUP($C$3&amp;"-"&amp;$D26,Import!$C:$H,5,FALSE))</f>
        <v/>
      </c>
      <c r="S26" s="915" t="str">
        <f>IF(VLOOKUP($C$3&amp;"-"&amp;$D26,Import!$C:$H,6,FALSE)=0,"",VLOOKUP($C$3&amp;"-"&amp;$D26,Import!$C:$H,6,FALSE))</f>
        <v/>
      </c>
      <c r="T26" s="154"/>
      <c r="U26" s="252"/>
    </row>
    <row r="27" spans="1:21" s="289" customFormat="1" ht="63" customHeight="1" x14ac:dyDescent="0.2">
      <c r="A27" s="275"/>
      <c r="B27" s="1190"/>
      <c r="C27" s="1225"/>
      <c r="D27" s="407" t="s">
        <v>9</v>
      </c>
      <c r="E27" s="472" t="str">
        <f>IF(VLOOKUP(CONCATENATE($C$3,"-",$D27),Languages!$A:$D,1,TRUE)=CONCATENATE($C$3,"-",$D27),VLOOKUP(CONCATENATE($C$3,"-",$D27),Languages!$A:$D,Summary!$C$7,TRUE),NA())</f>
        <v>Toiminnon kannalta olennaisiin haavoittuvuuksiin puututaan (esimerkiksi lisäämällä valvontaa tai asentamalla korjauspäivityksiä). Tasolla 1 tämän ei tarvitse olla systemaattista ja säännöllistä.</v>
      </c>
      <c r="F27" s="393">
        <f t="shared" si="0"/>
        <v>0</v>
      </c>
      <c r="G27" s="449" t="s">
        <v>2542</v>
      </c>
      <c r="H27" s="441"/>
      <c r="I27" s="441"/>
      <c r="J27" s="441"/>
      <c r="K27" s="450"/>
      <c r="L27" s="154"/>
      <c r="M27" s="275"/>
      <c r="N27" s="1190"/>
      <c r="O27" s="897" t="str">
        <f>VLOOKUP(VLOOKUP($C$3&amp;"-"&amp;$D27,Import!$C:$D,2,FALSE),Parameters!$C$18:$F$22,Summary!$C$7,FALSE)</f>
        <v xml:space="preserve">0 - Vastaus puuttuu </v>
      </c>
      <c r="P27" s="933" t="str">
        <f>IF(VLOOKUP($C$3&amp;"-"&amp;$D27,Import!$C:$H,3,FALSE)=0,"",VLOOKUP($C$3&amp;"-"&amp;$D27,Import!$C:$H,3,FALSE))</f>
        <v/>
      </c>
      <c r="Q27" s="933" t="str">
        <f>IF(VLOOKUP($C$3&amp;"-"&amp;$D27,Import!$C:$H,4,FALSE)=0,"",VLOOKUP($C$3&amp;"-"&amp;$D27,Import!$C:$H,4,FALSE))</f>
        <v/>
      </c>
      <c r="R27" s="933" t="str">
        <f>IF(VLOOKUP($C$3&amp;"-"&amp;$D27,Import!$C:$H,5,FALSE)=0,"",VLOOKUP($C$3&amp;"-"&amp;$D27,Import!$C:$H,5,FALSE))</f>
        <v/>
      </c>
      <c r="S27" s="934" t="str">
        <f>IF(VLOOKUP($C$3&amp;"-"&amp;$D27,Import!$C:$H,6,FALSE)=0,"",VLOOKUP($C$3&amp;"-"&amp;$D27,Import!$C:$H,6,FALSE))</f>
        <v/>
      </c>
      <c r="T27" s="154"/>
      <c r="U27" s="252"/>
    </row>
    <row r="28" spans="1:21" s="289" customFormat="1" ht="46.8" customHeight="1" x14ac:dyDescent="0.2">
      <c r="A28" s="275"/>
      <c r="B28" s="1190"/>
      <c r="C28" s="1226">
        <v>2</v>
      </c>
      <c r="D28" s="389" t="s">
        <v>10</v>
      </c>
      <c r="E28" s="471" t="str">
        <f>IF(VLOOKUP(CONCATENATE($C$3,"-",$D28),Languages!$A:$D,1,TRUE)=CONCATENATE($C$3,"-",$D28),VLOOKUP(CONCATENATE($C$3,"-",$D28),Languages!$A:$D,Summary!$C$7,TRUE),NA())</f>
        <v>Haavoittuvuustiedon lähteet kattavat korkean prioriteetin laitteet ja ohjelmistot  ja näitä tietolähteitä seurataan säännöllisesti.</v>
      </c>
      <c r="F28" s="386">
        <f t="shared" si="0"/>
        <v>0</v>
      </c>
      <c r="G28" s="445" t="s">
        <v>2542</v>
      </c>
      <c r="H28" s="442"/>
      <c r="I28" s="442"/>
      <c r="J28" s="442"/>
      <c r="K28" s="451"/>
      <c r="L28" s="154"/>
      <c r="M28" s="275"/>
      <c r="N28" s="1190"/>
      <c r="O28" s="889" t="str">
        <f>VLOOKUP(VLOOKUP($C$3&amp;"-"&amp;$D28,Import!$C:$D,2,FALSE),Parameters!$C$18:$F$22,Summary!$C$7,FALSE)</f>
        <v xml:space="preserve">0 - Vastaus puuttuu </v>
      </c>
      <c r="P28" s="921" t="str">
        <f>IF(VLOOKUP($C$3&amp;"-"&amp;$D28,Import!$C:$H,3,FALSE)=0,"",VLOOKUP($C$3&amp;"-"&amp;$D28,Import!$C:$H,3,FALSE))</f>
        <v/>
      </c>
      <c r="Q28" s="921" t="str">
        <f>IF(VLOOKUP($C$3&amp;"-"&amp;$D28,Import!$C:$H,4,FALSE)=0,"",VLOOKUP($C$3&amp;"-"&amp;$D28,Import!$C:$H,4,FALSE))</f>
        <v/>
      </c>
      <c r="R28" s="921" t="str">
        <f>IF(VLOOKUP($C$3&amp;"-"&amp;$D28,Import!$C:$H,5,FALSE)=0,"",VLOOKUP($C$3&amp;"-"&amp;$D28,Import!$C:$H,5,FALSE))</f>
        <v/>
      </c>
      <c r="S28" s="922" t="str">
        <f>IF(VLOOKUP($C$3&amp;"-"&amp;$D28,Import!$C:$H,6,FALSE)=0,"",VLOOKUP($C$3&amp;"-"&amp;$D28,Import!$C:$H,6,FALSE))</f>
        <v/>
      </c>
      <c r="T28" s="154"/>
      <c r="U28" s="252"/>
    </row>
    <row r="29" spans="1:21" s="289" customFormat="1" ht="47.4" customHeight="1" x14ac:dyDescent="0.2">
      <c r="A29" s="275"/>
      <c r="B29" s="1190"/>
      <c r="C29" s="1227"/>
      <c r="D29" s="290" t="s">
        <v>11</v>
      </c>
      <c r="E29" s="469" t="str">
        <f>IF(VLOOKUP(CONCATENATE($C$3,"-",$D29),Languages!$A:$D,1,TRUE)=CONCATENATE($C$3,"-",$D29),VLOOKUP(CONCATENATE($C$3,"-",$D29),Languages!$A:$D,Summary!$C$7,TRUE),NA())</f>
        <v>Haavoittuvuusarviointeja suoritetaan aika ajoin ja määriteltyjen tilanteiden kuten järjestelmämuutosten tai ulkoisten tapahtumien yhteydessä.</v>
      </c>
      <c r="F29" s="287">
        <f t="shared" si="0"/>
        <v>0</v>
      </c>
      <c r="G29" s="307" t="s">
        <v>2542</v>
      </c>
      <c r="H29" s="443"/>
      <c r="I29" s="443"/>
      <c r="J29" s="443"/>
      <c r="K29" s="452"/>
      <c r="L29" s="154"/>
      <c r="M29" s="275"/>
      <c r="N29" s="1190"/>
      <c r="O29" s="892" t="str">
        <f>VLOOKUP(VLOOKUP($C$3&amp;"-"&amp;$D29,Import!$C:$D,2,FALSE),Parameters!$C$18:$F$22,Summary!$C$7,FALSE)</f>
        <v xml:space="preserve">0 - Vastaus puuttuu </v>
      </c>
      <c r="P29" s="916" t="str">
        <f>IF(VLOOKUP($C$3&amp;"-"&amp;$D29,Import!$C:$H,3,FALSE)=0,"",VLOOKUP($C$3&amp;"-"&amp;$D29,Import!$C:$H,3,FALSE))</f>
        <v/>
      </c>
      <c r="Q29" s="916" t="str">
        <f>IF(VLOOKUP($C$3&amp;"-"&amp;$D29,Import!$C:$H,4,FALSE)=0,"",VLOOKUP($C$3&amp;"-"&amp;$D29,Import!$C:$H,4,FALSE))</f>
        <v/>
      </c>
      <c r="R29" s="916" t="str">
        <f>IF(VLOOKUP($C$3&amp;"-"&amp;$D29,Import!$C:$H,5,FALSE)=0,"",VLOOKUP($C$3&amp;"-"&amp;$D29,Import!$C:$H,5,FALSE))</f>
        <v/>
      </c>
      <c r="S29" s="917" t="str">
        <f>IF(VLOOKUP($C$3&amp;"-"&amp;$D29,Import!$C:$H,6,FALSE)=0,"",VLOOKUP($C$3&amp;"-"&amp;$D29,Import!$C:$H,6,FALSE))</f>
        <v/>
      </c>
      <c r="T29" s="154"/>
      <c r="U29" s="252"/>
    </row>
    <row r="30" spans="1:21" s="289" customFormat="1" ht="34.950000000000003" customHeight="1" x14ac:dyDescent="0.2">
      <c r="A30" s="275"/>
      <c r="B30" s="1186"/>
      <c r="C30" s="1227"/>
      <c r="D30" s="290" t="s">
        <v>12</v>
      </c>
      <c r="E30" s="469" t="str">
        <f>IF(VLOOKUP(CONCATENATE($C$3,"-",$D30),Languages!$A:$D,1,TRUE)=CONCATENATE($C$3,"-",$D30),VLOOKUP(CONCATENATE($C$3,"-",$D30),Languages!$A:$D,Summary!$C$7,TRUE),NA())</f>
        <v>Tunnistetut haavoittuvuudet analysoidaan, priorisoidaan ja niihin puututaan tilanteen edellyttämin keinoin.</v>
      </c>
      <c r="F30" s="287">
        <f t="shared" si="0"/>
        <v>0</v>
      </c>
      <c r="G30" s="307" t="s">
        <v>2542</v>
      </c>
      <c r="H30" s="443"/>
      <c r="I30" s="443"/>
      <c r="J30" s="443"/>
      <c r="K30" s="452"/>
      <c r="L30" s="154"/>
      <c r="M30" s="275"/>
      <c r="N30" s="1186"/>
      <c r="O30" s="892" t="str">
        <f>VLOOKUP(VLOOKUP($C$3&amp;"-"&amp;$D30,Import!$C:$D,2,FALSE),Parameters!$C$18:$F$22,Summary!$C$7,FALSE)</f>
        <v xml:space="preserve">0 - Vastaus puuttuu </v>
      </c>
      <c r="P30" s="916" t="str">
        <f>IF(VLOOKUP($C$3&amp;"-"&amp;$D30,Import!$C:$H,3,FALSE)=0,"",VLOOKUP($C$3&amp;"-"&amp;$D30,Import!$C:$H,3,FALSE))</f>
        <v/>
      </c>
      <c r="Q30" s="916" t="str">
        <f>IF(VLOOKUP($C$3&amp;"-"&amp;$D30,Import!$C:$H,4,FALSE)=0,"",VLOOKUP($C$3&amp;"-"&amp;$D30,Import!$C:$H,4,FALSE))</f>
        <v/>
      </c>
      <c r="R30" s="916" t="str">
        <f>IF(VLOOKUP($C$3&amp;"-"&amp;$D30,Import!$C:$H,5,FALSE)=0,"",VLOOKUP($C$3&amp;"-"&amp;$D30,Import!$C:$H,5,FALSE))</f>
        <v/>
      </c>
      <c r="S30" s="917" t="str">
        <f>IF(VLOOKUP($C$3&amp;"-"&amp;$D30,Import!$C:$H,6,FALSE)=0,"",VLOOKUP($C$3&amp;"-"&amp;$D30,Import!$C:$H,6,FALSE))</f>
        <v/>
      </c>
      <c r="T30" s="154"/>
      <c r="U30" s="252"/>
    </row>
    <row r="31" spans="1:21" s="289" customFormat="1" ht="34.950000000000003" customHeight="1" x14ac:dyDescent="0.2">
      <c r="A31" s="275"/>
      <c r="B31" s="1186"/>
      <c r="C31" s="1227"/>
      <c r="D31" s="290" t="s">
        <v>13</v>
      </c>
      <c r="E31" s="469" t="str">
        <f>IF(VLOOKUP(CONCATENATE($C$3,"-",$D31),Languages!$A:$D,1,TRUE)=CONCATENATE($C$3,"-",$D31),VLOOKUP(CONCATENATE($C$3,"-",$D31),Languages!$A:$D,Summary!$C$7,TRUE),NA())</f>
        <v>Ohjelmistokorjausten vaikutus toiminnon operatiiviseen toimintaan arvioidaan ennen korjausten asentamista tai rajoitustoimia (mitigation).</v>
      </c>
      <c r="F31" s="287">
        <f t="shared" si="0"/>
        <v>0</v>
      </c>
      <c r="G31" s="307" t="s">
        <v>2542</v>
      </c>
      <c r="H31" s="443"/>
      <c r="I31" s="443"/>
      <c r="J31" s="443"/>
      <c r="K31" s="452"/>
      <c r="L31" s="154"/>
      <c r="M31" s="275"/>
      <c r="N31" s="1186"/>
      <c r="O31" s="892" t="str">
        <f>VLOOKUP(VLOOKUP($C$3&amp;"-"&amp;$D31,Import!$C:$D,2,FALSE),Parameters!$C$18:$F$22,Summary!$C$7,FALSE)</f>
        <v xml:space="preserve">0 - Vastaus puuttuu </v>
      </c>
      <c r="P31" s="916" t="str">
        <f>IF(VLOOKUP($C$3&amp;"-"&amp;$D31,Import!$C:$H,3,FALSE)=0,"",VLOOKUP($C$3&amp;"-"&amp;$D31,Import!$C:$H,3,FALSE))</f>
        <v/>
      </c>
      <c r="Q31" s="916" t="str">
        <f>IF(VLOOKUP($C$3&amp;"-"&amp;$D31,Import!$C:$H,4,FALSE)=0,"",VLOOKUP($C$3&amp;"-"&amp;$D31,Import!$C:$H,4,FALSE))</f>
        <v/>
      </c>
      <c r="R31" s="916" t="str">
        <f>IF(VLOOKUP($C$3&amp;"-"&amp;$D31,Import!$C:$H,5,FALSE)=0,"",VLOOKUP($C$3&amp;"-"&amp;$D31,Import!$C:$H,5,FALSE))</f>
        <v/>
      </c>
      <c r="S31" s="917" t="str">
        <f>IF(VLOOKUP($C$3&amp;"-"&amp;$D31,Import!$C:$H,6,FALSE)=0,"",VLOOKUP($C$3&amp;"-"&amp;$D31,Import!$C:$H,6,FALSE))</f>
        <v/>
      </c>
      <c r="T31" s="154"/>
      <c r="U31" s="252"/>
    </row>
    <row r="32" spans="1:21" s="289" customFormat="1" ht="34.950000000000003" customHeight="1" x14ac:dyDescent="0.2">
      <c r="A32" s="275"/>
      <c r="B32" s="1186"/>
      <c r="C32" s="1228"/>
      <c r="D32" s="392" t="s">
        <v>14</v>
      </c>
      <c r="E32" s="472" t="str">
        <f>IF(VLOOKUP(CONCATENATE($C$3,"-",$D32),Languages!$A:$D,1,TRUE)=CONCATENATE($C$3,"-",$D32),VLOOKUP(CONCATENATE($C$3,"-",$D32),Languages!$A:$D,Summary!$C$7,TRUE),NA())</f>
        <v>Tietoa löydetyistä kyberturvallisuushaavoittuvuuksista jaetaan organisaation määrittelemille sidosryhmille.</v>
      </c>
      <c r="F32" s="393">
        <f t="shared" si="0"/>
        <v>0</v>
      </c>
      <c r="G32" s="449" t="s">
        <v>2542</v>
      </c>
      <c r="H32" s="444"/>
      <c r="I32" s="444"/>
      <c r="J32" s="444"/>
      <c r="K32" s="453"/>
      <c r="L32" s="154"/>
      <c r="M32" s="275"/>
      <c r="N32" s="1186"/>
      <c r="O32" s="897" t="str">
        <f>VLOOKUP(VLOOKUP($C$3&amp;"-"&amp;$D32,Import!$C:$D,2,FALSE),Parameters!$C$18:$F$22,Summary!$C$7,FALSE)</f>
        <v xml:space="preserve">0 - Vastaus puuttuu </v>
      </c>
      <c r="P32" s="923" t="str">
        <f>IF(VLOOKUP($C$3&amp;"-"&amp;$D32,Import!$C:$H,3,FALSE)=0,"",VLOOKUP($C$3&amp;"-"&amp;$D32,Import!$C:$H,3,FALSE))</f>
        <v/>
      </c>
      <c r="Q32" s="923" t="str">
        <f>IF(VLOOKUP($C$3&amp;"-"&amp;$D32,Import!$C:$H,4,FALSE)=0,"",VLOOKUP($C$3&amp;"-"&amp;$D32,Import!$C:$H,4,FALSE))</f>
        <v/>
      </c>
      <c r="R32" s="923" t="str">
        <f>IF(VLOOKUP($C$3&amp;"-"&amp;$D32,Import!$C:$H,5,FALSE)=0,"",VLOOKUP($C$3&amp;"-"&amp;$D32,Import!$C:$H,5,FALSE))</f>
        <v/>
      </c>
      <c r="S32" s="924" t="str">
        <f>IF(VLOOKUP($C$3&amp;"-"&amp;$D32,Import!$C:$H,6,FALSE)=0,"",VLOOKUP($C$3&amp;"-"&amp;$D32,Import!$C:$H,6,FALSE))</f>
        <v/>
      </c>
      <c r="T32" s="154"/>
      <c r="U32" s="252"/>
    </row>
    <row r="33" spans="1:21" s="289" customFormat="1" ht="34.950000000000003" customHeight="1" x14ac:dyDescent="0.2">
      <c r="A33" s="275"/>
      <c r="B33" s="1186"/>
      <c r="C33" s="1229">
        <v>3</v>
      </c>
      <c r="D33" s="389" t="s">
        <v>15</v>
      </c>
      <c r="E33" s="471" t="str">
        <f>IF(VLOOKUP(CONCATENATE($C$3,"-",$D33),Languages!$A:$D,1,TRUE)=CONCATENATE($C$3,"-",$D33),VLOOKUP(CONCATENATE($C$3,"-",$D33),Languages!$A:$D,Summary!$C$7,TRUE),NA())</f>
        <v>Kaikkille toimintoon kuuluvien IT- ja OT-omaisuuserille (laitteet, ohjelmistot ja tietovarannot) on tunnistettu haavoittuvuustietolähteet, joita myös seurataan.</v>
      </c>
      <c r="F33" s="386">
        <f t="shared" si="0"/>
        <v>0</v>
      </c>
      <c r="G33" s="445" t="s">
        <v>2542</v>
      </c>
      <c r="H33" s="442"/>
      <c r="I33" s="442"/>
      <c r="J33" s="442"/>
      <c r="K33" s="451"/>
      <c r="L33" s="154"/>
      <c r="M33" s="275"/>
      <c r="N33" s="1186"/>
      <c r="O33" s="889" t="str">
        <f>VLOOKUP(VLOOKUP($C$3&amp;"-"&amp;$D33,Import!$C:$D,2,FALSE),Parameters!$C$18:$F$22,Summary!$C$7,FALSE)</f>
        <v xml:space="preserve">0 - Vastaus puuttuu </v>
      </c>
      <c r="P33" s="921" t="str">
        <f>IF(VLOOKUP($C$3&amp;"-"&amp;$D33,Import!$C:$H,3,FALSE)=0,"",VLOOKUP($C$3&amp;"-"&amp;$D33,Import!$C:$H,3,FALSE))</f>
        <v/>
      </c>
      <c r="Q33" s="921" t="str">
        <f>IF(VLOOKUP($C$3&amp;"-"&amp;$D33,Import!$C:$H,4,FALSE)=0,"",VLOOKUP($C$3&amp;"-"&amp;$D33,Import!$C:$H,4,FALSE))</f>
        <v/>
      </c>
      <c r="R33" s="921" t="str">
        <f>IF(VLOOKUP($C$3&amp;"-"&amp;$D33,Import!$C:$H,5,FALSE)=0,"",VLOOKUP($C$3&amp;"-"&amp;$D33,Import!$C:$H,5,FALSE))</f>
        <v/>
      </c>
      <c r="S33" s="922" t="str">
        <f>IF(VLOOKUP($C$3&amp;"-"&amp;$D33,Import!$C:$H,6,FALSE)=0,"",VLOOKUP($C$3&amp;"-"&amp;$D33,Import!$C:$H,6,FALSE))</f>
        <v/>
      </c>
      <c r="T33" s="154"/>
      <c r="U33" s="252"/>
    </row>
    <row r="34" spans="1:21" s="289" customFormat="1" ht="46.8" customHeight="1" x14ac:dyDescent="0.2">
      <c r="A34" s="275"/>
      <c r="B34" s="1186"/>
      <c r="C34" s="1230"/>
      <c r="D34" s="290" t="s">
        <v>186</v>
      </c>
      <c r="E34" s="469" t="str">
        <f>IF(VLOOKUP(CONCATENATE($C$3,"-",$D34),Languages!$A:$D,1,TRUE)=CONCATENATE($C$3,"-",$D34),VLOOKUP(CONCATENATE($C$3,"-",$D34),Languages!$A:$D,Summary!$C$7,TRUE),NA())</f>
        <v>Haavoittuvuusarvioinnit suorittaa toiminnon operatiivisesta toiminnasta irrallaan oleva riippumaton taho.</v>
      </c>
      <c r="F34" s="287">
        <f t="shared" si="0"/>
        <v>0</v>
      </c>
      <c r="G34" s="307" t="s">
        <v>2542</v>
      </c>
      <c r="H34" s="443"/>
      <c r="I34" s="443"/>
      <c r="J34" s="443"/>
      <c r="K34" s="452"/>
      <c r="L34" s="154"/>
      <c r="M34" s="275"/>
      <c r="N34" s="1186"/>
      <c r="O34" s="892" t="str">
        <f>VLOOKUP(VLOOKUP($C$3&amp;"-"&amp;$D34,Import!$C:$D,2,FALSE),Parameters!$C$18:$F$22,Summary!$C$7,FALSE)</f>
        <v xml:space="preserve">0 - Vastaus puuttuu </v>
      </c>
      <c r="P34" s="916" t="str">
        <f>IF(VLOOKUP($C$3&amp;"-"&amp;$D34,Import!$C:$H,3,FALSE)=0,"",VLOOKUP($C$3&amp;"-"&amp;$D34,Import!$C:$H,3,FALSE))</f>
        <v/>
      </c>
      <c r="Q34" s="916" t="str">
        <f>IF(VLOOKUP($C$3&amp;"-"&amp;$D34,Import!$C:$H,4,FALSE)=0,"",VLOOKUP($C$3&amp;"-"&amp;$D34,Import!$C:$H,4,FALSE))</f>
        <v/>
      </c>
      <c r="R34" s="916" t="str">
        <f>IF(VLOOKUP($C$3&amp;"-"&amp;$D34,Import!$C:$H,5,FALSE)=0,"",VLOOKUP($C$3&amp;"-"&amp;$D34,Import!$C:$H,5,FALSE))</f>
        <v/>
      </c>
      <c r="S34" s="917" t="str">
        <f>IF(VLOOKUP($C$3&amp;"-"&amp;$D34,Import!$C:$H,6,FALSE)=0,"",VLOOKUP($C$3&amp;"-"&amp;$D34,Import!$C:$H,6,FALSE))</f>
        <v/>
      </c>
      <c r="T34" s="154"/>
      <c r="U34" s="252"/>
    </row>
    <row r="35" spans="1:21" s="289" customFormat="1" ht="46.8" customHeight="1" x14ac:dyDescent="0.2">
      <c r="A35" s="275"/>
      <c r="B35" s="1186"/>
      <c r="C35" s="1230"/>
      <c r="D35" s="388" t="s">
        <v>188</v>
      </c>
      <c r="E35" s="472" t="str">
        <f>IF(VLOOKUP(CONCATENATE($C$3,"-",$D35),Languages!$A:$D,1,TRUE)=CONCATENATE($C$3,"-",$D35),VLOOKUP(CONCATENATE($C$3,"-",$D35),Languages!$A:$D,Summary!$C$7,TRUE),NA())</f>
        <v>Haavoittuvuuksien seurantaan kuuluu myös toimenpiteiden katselmus, jolla varmistetaan, että haavoittuvuuksia rajaavat tai korjaavat toimenpiteet ovat olleet tehokkaita.</v>
      </c>
      <c r="F35" s="287">
        <f t="shared" si="0"/>
        <v>0</v>
      </c>
      <c r="G35" s="501" t="s">
        <v>2542</v>
      </c>
      <c r="H35" s="493"/>
      <c r="I35" s="493"/>
      <c r="J35" s="493"/>
      <c r="K35" s="494"/>
      <c r="L35" s="154"/>
      <c r="M35" s="275"/>
      <c r="N35" s="1186"/>
      <c r="O35" s="892" t="str">
        <f>VLOOKUP(VLOOKUP($C$3&amp;"-"&amp;$D35,Import!$C:$D,2,FALSE),Parameters!$C$18:$F$22,Summary!$C$7,FALSE)</f>
        <v xml:space="preserve">0 - Vastaus puuttuu </v>
      </c>
      <c r="P35" s="916" t="str">
        <f>IF(VLOOKUP($C$3&amp;"-"&amp;$D35,Import!$C:$H,3,FALSE)=0,"",VLOOKUP($C$3&amp;"-"&amp;$D35,Import!$C:$H,3,FALSE))</f>
        <v/>
      </c>
      <c r="Q35" s="916" t="str">
        <f>IF(VLOOKUP($C$3&amp;"-"&amp;$D35,Import!$C:$H,4,FALSE)=0,"",VLOOKUP($C$3&amp;"-"&amp;$D35,Import!$C:$H,4,FALSE))</f>
        <v/>
      </c>
      <c r="R35" s="916" t="str">
        <f>IF(VLOOKUP($C$3&amp;"-"&amp;$D35,Import!$C:$H,5,FALSE)=0,"",VLOOKUP($C$3&amp;"-"&amp;$D35,Import!$C:$H,5,FALSE))</f>
        <v/>
      </c>
      <c r="S35" s="917" t="str">
        <f>IF(VLOOKUP($C$3&amp;"-"&amp;$D35,Import!$C:$H,6,FALSE)=0,"",VLOOKUP($C$3&amp;"-"&amp;$D35,Import!$C:$H,6,FALSE))</f>
        <v/>
      </c>
      <c r="T35" s="154"/>
      <c r="U35" s="252"/>
    </row>
    <row r="36" spans="1:21" s="289" customFormat="1" ht="34.950000000000003" customHeight="1" x14ac:dyDescent="0.2">
      <c r="A36" s="275"/>
      <c r="B36" s="1186"/>
      <c r="C36" s="1231"/>
      <c r="D36" s="392" t="s">
        <v>2801</v>
      </c>
      <c r="E36" s="472" t="str">
        <f>IF(VLOOKUP(CONCATENATE($C$3,"-",$D36),Languages!$A:$D,1,TRUE)=CONCATENATE($C$3,"-",$D36),VLOOKUP(CONCATENATE($C$3,"-",$D36),Languages!$A:$D,Summary!$C$7,TRUE),NA())</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36" s="393">
        <f t="shared" si="0"/>
        <v>0</v>
      </c>
      <c r="G36" s="449" t="s">
        <v>2542</v>
      </c>
      <c r="H36" s="444"/>
      <c r="I36" s="444"/>
      <c r="J36" s="444"/>
      <c r="K36" s="453"/>
      <c r="L36" s="154"/>
      <c r="M36" s="275"/>
      <c r="N36" s="1186"/>
      <c r="O36" s="892" t="str">
        <f>VLOOKUP(VLOOKUP($C$3&amp;"-"&amp;$D36,Import!$C:$D,2,FALSE),Parameters!$C$18:$F$22,Summary!$C$7,FALSE)</f>
        <v xml:space="preserve">0 - Vastaus puuttuu </v>
      </c>
      <c r="P36" s="923" t="str">
        <f>IF(VLOOKUP($C$3&amp;"-"&amp;$D36,Import!$C:$H,3,FALSE)=0,"",VLOOKUP($C$3&amp;"-"&amp;$D36,Import!$C:$H,3,FALSE))</f>
        <v/>
      </c>
      <c r="Q36" s="923" t="str">
        <f>IF(VLOOKUP($C$3&amp;"-"&amp;$D36,Import!$C:$H,4,FALSE)=0,"",VLOOKUP($C$3&amp;"-"&amp;$D36,Import!$C:$H,4,FALSE))</f>
        <v/>
      </c>
      <c r="R36" s="923" t="str">
        <f>IF(VLOOKUP($C$3&amp;"-"&amp;$D36,Import!$C:$H,5,FALSE)=0,"",VLOOKUP($C$3&amp;"-"&amp;$D36,Import!$C:$H,5,FALSE))</f>
        <v/>
      </c>
      <c r="S36" s="924" t="str">
        <f>IF(VLOOKUP($C$3&amp;"-"&amp;$D36,Import!$C:$H,6,FALSE)=0,"",VLOOKUP($C$3&amp;"-"&amp;$D36,Import!$C:$H,6,FALSE))</f>
        <v/>
      </c>
      <c r="T36" s="154"/>
      <c r="U36" s="252"/>
    </row>
    <row r="37" spans="1:21" s="177" customFormat="1" ht="30" customHeight="1" x14ac:dyDescent="0.25">
      <c r="A37" s="166"/>
      <c r="B37" s="269"/>
      <c r="C37" s="170">
        <v>2</v>
      </c>
      <c r="D37" s="170" t="str">
        <f>IF(VLOOKUP(CONCATENATE($C$3,"-",C37),Languages!$A:$D,1,TRUE)=CONCATENATE($C$3,"-",C37),VLOOKUP(CONCATENATE($C$3,"-",C37),Languages!$A:$D,Summary!$C$7,TRUE),NA())</f>
        <v>Uhkien torjunta ja uhkatiedon jakaminen</v>
      </c>
      <c r="E37" s="170"/>
      <c r="F37" s="292"/>
      <c r="G37" s="907"/>
      <c r="H37" s="929"/>
      <c r="I37" s="929"/>
      <c r="J37" s="929"/>
      <c r="K37" s="929"/>
      <c r="L37" s="154"/>
      <c r="M37" s="166"/>
      <c r="N37" s="269"/>
      <c r="O37" s="292"/>
      <c r="P37" s="293"/>
      <c r="Q37" s="293"/>
      <c r="R37" s="293"/>
      <c r="S37" s="293"/>
      <c r="T37" s="154"/>
      <c r="U37" s="252"/>
    </row>
    <row r="38" spans="1:21" s="285" customFormat="1" ht="19.95" customHeight="1" x14ac:dyDescent="0.2">
      <c r="A38" s="304"/>
      <c r="B38" s="279"/>
      <c r="C38" s="280" t="str">
        <f>IF(VLOOKUP("GEN-LEVEL",Languages!$A:$D,1,TRUE)="GEN-LEVEL",VLOOKUP("GEN-LEVEL",Languages!$A:$D,Summary!$C$7,TRUE),NA())</f>
        <v>Taso</v>
      </c>
      <c r="D38" s="280"/>
      <c r="E38" s="281" t="str">
        <f>IF(VLOOKUP("GEN-PRACTICE",Languages!$A:$D,1,TRUE)="GEN-PRACTICE",VLOOKUP("GEN-PRACTICE",Languages!$A:$D,Summary!$C$7,TRUE),NA())</f>
        <v>Käytäntö</v>
      </c>
      <c r="F38" s="282"/>
      <c r="G38" s="904" t="str">
        <f>IF(VLOOKUP("GEN-ANSWER",Languages!$A:$D,1,TRUE)="GEN-ANSWER",VLOOKUP("GEN-ANSWER",Languages!$A:$D,Summary!$C$7,TRUE),NA())</f>
        <v>Vastaus</v>
      </c>
      <c r="H38" s="905" t="str">
        <f>IF(VLOOKUP("KM112",Languages!$A:$D,1,TRUE)="KM112",VLOOKUP("KM112",Languages!$A:$D,Summary!$C$7,TRUE),NA())</f>
        <v>Kommentit</v>
      </c>
      <c r="I38" s="905" t="str">
        <f>IF(VLOOKUP("KM113",Languages!$A:$D,1,TRUE)="KM113",VLOOKUP("KM113",Languages!$A:$D,Summary!$C$7,TRUE),NA())</f>
        <v>Sisäinen viittaus</v>
      </c>
      <c r="J38" s="905" t="str">
        <f>IF(VLOOKUP("KM114",Languages!$A:$D,1,TRUE)="KM114",VLOOKUP("KM114",Languages!$A:$D,Summary!$C$7,TRUE),NA())</f>
        <v>Ulkoinen viittaus</v>
      </c>
      <c r="K38" s="905" t="str">
        <f>IF(VLOOKUP("KM115",Languages!$A:$D,1,TRUE)="KM115",VLOOKUP("KM115",Languages!$A:$D,Summary!$C$7,TRUE),NA())</f>
        <v>Kehityskohde</v>
      </c>
      <c r="L38" s="283"/>
      <c r="M38" s="284"/>
      <c r="N38" s="279"/>
      <c r="O38" s="463" t="str">
        <f>IF(VLOOKUP("GEN-ANSWER",Languages!$A:$D,1,TRUE)="GEN-ANSWER",VLOOKUP("GEN-ANSWER",Languages!$A:$D,Summary!$C$7,TRUE),NA())</f>
        <v>Vastaus</v>
      </c>
      <c r="P38" s="463" t="str">
        <f>IF(VLOOKUP("KM112",Languages!$A:$D,1,TRUE)="KM112",VLOOKUP("KM112",Languages!$A:$D,Summary!$C$7,TRUE),NA())</f>
        <v>Kommentit</v>
      </c>
      <c r="Q38" s="463" t="str">
        <f>IF(VLOOKUP("KM113",Languages!$A:$D,1,TRUE)="KM113",VLOOKUP("KM113",Languages!$A:$D,Summary!$C$7,TRUE),NA())</f>
        <v>Sisäinen viittaus</v>
      </c>
      <c r="R38" s="463" t="str">
        <f>IF(VLOOKUP("KM114",Languages!$A:$D,1,TRUE)="KM114",VLOOKUP("KM114",Languages!$A:$D,Summary!$C$7,TRUE),NA())</f>
        <v>Ulkoinen viittaus</v>
      </c>
      <c r="S38" s="463" t="str">
        <f>IF(VLOOKUP("KM115",Languages!$A:$D,1,TRUE)="KM115",VLOOKUP("KM115",Languages!$A:$D,Summary!$C$7,TRUE),NA())</f>
        <v>Kehityskohde</v>
      </c>
      <c r="T38" s="283"/>
      <c r="U38" s="284"/>
    </row>
    <row r="39" spans="1:21" s="296" customFormat="1" ht="34.950000000000003" customHeight="1" x14ac:dyDescent="0.2">
      <c r="A39" s="305"/>
      <c r="B39" s="1199"/>
      <c r="C39" s="1214">
        <v>1</v>
      </c>
      <c r="D39" s="395" t="s">
        <v>17</v>
      </c>
      <c r="E39" s="467" t="str">
        <f>IF(VLOOKUP(CONCATENATE($C$3,"-",$D39),Languages!$A:$D,1,TRUE)=CONCATENATE($C$3,"-",$D39),VLOOKUP(CONCATENATE($C$3,"-",$D39),Languages!$A:$D,Summary!$C$7,TRUE),NA())</f>
        <v>Uhkien tunnistamisen tueksi on tunnistettu soveltuvia tietolähteitä. Tasolla 1 tämän ei tarvitse olla systemaattista ja säännöllistä.</v>
      </c>
      <c r="F39" s="386">
        <f t="shared" ref="F39:F49" si="1">IFERROR(INT(LEFT($G39,1)),0)</f>
        <v>0</v>
      </c>
      <c r="G39" s="445" t="s">
        <v>2542</v>
      </c>
      <c r="H39" s="446"/>
      <c r="I39" s="446"/>
      <c r="J39" s="446"/>
      <c r="K39" s="447"/>
      <c r="L39" s="154"/>
      <c r="M39" s="305"/>
      <c r="N39" s="1199"/>
      <c r="O39" s="889" t="str">
        <f>VLOOKUP(VLOOKUP($C$3&amp;"-"&amp;$D39,Import!$C:$D,2,FALSE),Parameters!$C$18:$F$22,Summary!$C$7,FALSE)</f>
        <v xml:space="preserve">0 - Vastaus puuttuu </v>
      </c>
      <c r="P39" s="931" t="str">
        <f>IF(VLOOKUP($C$3&amp;"-"&amp;$D39,Import!$C:$H,3,FALSE)=0,"",VLOOKUP($C$3&amp;"-"&amp;$D39,Import!$C:$H,3,FALSE))</f>
        <v/>
      </c>
      <c r="Q39" s="931" t="str">
        <f>IF(VLOOKUP($C$3&amp;"-"&amp;$D39,Import!$C:$H,4,FALSE)=0,"",VLOOKUP($C$3&amp;"-"&amp;$D39,Import!$C:$H,4,FALSE))</f>
        <v/>
      </c>
      <c r="R39" s="931" t="str">
        <f>IF(VLOOKUP($C$3&amp;"-"&amp;$D39,Import!$C:$H,5,FALSE)=0,"",VLOOKUP($C$3&amp;"-"&amp;$D39,Import!$C:$H,5,FALSE))</f>
        <v/>
      </c>
      <c r="S39" s="932" t="str">
        <f>IF(VLOOKUP($C$3&amp;"-"&amp;$D39,Import!$C:$H,6,FALSE)=0,"",VLOOKUP($C$3&amp;"-"&amp;$D39,Import!$C:$H,6,FALSE))</f>
        <v/>
      </c>
      <c r="T39" s="154"/>
      <c r="U39" s="252"/>
    </row>
    <row r="40" spans="1:21" s="296" customFormat="1" ht="34.950000000000003" customHeight="1" x14ac:dyDescent="0.2">
      <c r="A40" s="305"/>
      <c r="B40" s="1199"/>
      <c r="C40" s="1232"/>
      <c r="D40" s="294" t="s">
        <v>18</v>
      </c>
      <c r="E40" s="468" t="str">
        <f>IF(VLOOKUP(CONCATENATE($C$3,"-",$D40),Languages!$A:$D,1,TRUE)=CONCATENATE($C$3,"-",$D40),VLOOKUP(CONCATENATE($C$3,"-",$D40),Languages!$A:$D,Summary!$C$7,TRUE),NA())</f>
        <v>Kyberuhkatietoa kerätään ja sitä tulkitaan toimintoa varten vähintäänkin tapauskohtaisesti (ad hoc). Tasolla 1 tämän ei tarvitse olla systemaattista ja säännöllistä.</v>
      </c>
      <c r="F40" s="287">
        <f t="shared" si="1"/>
        <v>0</v>
      </c>
      <c r="G40" s="307" t="s">
        <v>2542</v>
      </c>
      <c r="H40" s="443"/>
      <c r="I40" s="443"/>
      <c r="J40" s="443"/>
      <c r="K40" s="452"/>
      <c r="L40" s="154"/>
      <c r="M40" s="305"/>
      <c r="N40" s="1199"/>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54"/>
      <c r="U40" s="252"/>
    </row>
    <row r="41" spans="1:21" s="296" customFormat="1" ht="45" customHeight="1" x14ac:dyDescent="0.2">
      <c r="A41" s="305"/>
      <c r="B41" s="1199"/>
      <c r="C41" s="1232"/>
      <c r="D41" s="396" t="s">
        <v>19</v>
      </c>
      <c r="E41" s="474" t="str">
        <f>IF(VLOOKUP(CONCATENATE($C$3,"-",$D41),Languages!$A:$D,1,TRUE)=CONCATENATE($C$3,"-",$D41),VLOOKUP(CONCATENATE($C$3,"-",$D41),Languages!$A:$D,Summary!$C$7,TRUE),NA())</f>
        <v xml:space="preserve">Toimintoon kohdistuvat uhkatoimijoiden tavoitteet on tunnistettu ainakin tapauskohtaisesti. Tasolla 1 tämän ei tarvitse olla systemaattista ja säännöllistä. </v>
      </c>
      <c r="F41" s="393">
        <f t="shared" si="1"/>
        <v>0</v>
      </c>
      <c r="G41" s="449" t="s">
        <v>2542</v>
      </c>
      <c r="H41" s="444"/>
      <c r="I41" s="444"/>
      <c r="J41" s="444"/>
      <c r="K41" s="453"/>
      <c r="L41" s="154"/>
      <c r="M41" s="305"/>
      <c r="N41" s="1199"/>
      <c r="O41" s="897" t="str">
        <f>VLOOKUP(VLOOKUP($C$3&amp;"-"&amp;$D41,Import!$C:$D,2,FALSE),Parameters!$C$18:$F$22,Summary!$C$7,FALSE)</f>
        <v xml:space="preserve">0 - Vastaus puuttuu </v>
      </c>
      <c r="P41" s="923" t="str">
        <f>IF(VLOOKUP($C$3&amp;"-"&amp;$D41,Import!$C:$H,3,FALSE)=0,"",VLOOKUP($C$3&amp;"-"&amp;$D41,Import!$C:$H,3,FALSE))</f>
        <v/>
      </c>
      <c r="Q41" s="923" t="str">
        <f>IF(VLOOKUP($C$3&amp;"-"&amp;$D41,Import!$C:$H,4,FALSE)=0,"",VLOOKUP($C$3&amp;"-"&amp;$D41,Import!$C:$H,4,FALSE))</f>
        <v/>
      </c>
      <c r="R41" s="923" t="str">
        <f>IF(VLOOKUP($C$3&amp;"-"&amp;$D41,Import!$C:$H,5,FALSE)=0,"",VLOOKUP($C$3&amp;"-"&amp;$D41,Import!$C:$H,5,FALSE))</f>
        <v/>
      </c>
      <c r="S41" s="924" t="str">
        <f>IF(VLOOKUP($C$3&amp;"-"&amp;$D41,Import!$C:$H,6,FALSE)=0,"",VLOOKUP($C$3&amp;"-"&amp;$D41,Import!$C:$H,6,FALSE))</f>
        <v/>
      </c>
      <c r="T41" s="154"/>
      <c r="U41" s="252"/>
    </row>
    <row r="42" spans="1:21" s="296" customFormat="1" ht="45" customHeight="1" x14ac:dyDescent="0.2">
      <c r="A42" s="305"/>
      <c r="B42" s="1199"/>
      <c r="C42" s="1215"/>
      <c r="D42" s="399" t="s">
        <v>20</v>
      </c>
      <c r="E42" s="466" t="str">
        <f>IF(VLOOKUP(CONCATENATE($C$3,"-",$D42),Languages!$A:$D,1,TRUE)=CONCATENATE($C$3,"-",$D42),VLOOKUP(CONCATENATE($C$3,"-",$D42),Languages!$A:$D,Summary!$C$7,TRUE),NA())</f>
        <v>Toiminnon kannalta olennaisiin uhkiin puututaan (esimerkiksi lisäämällä valvontaa tai seuraamalla uhkien kehitystä). Tasolla 1 tämän ei tarvitse olla systemaattista ja säännöllistä.</v>
      </c>
      <c r="F42" s="391">
        <f t="shared" si="1"/>
        <v>0</v>
      </c>
      <c r="G42" s="456" t="s">
        <v>2542</v>
      </c>
      <c r="H42" s="454"/>
      <c r="I42" s="454"/>
      <c r="J42" s="454"/>
      <c r="K42" s="455"/>
      <c r="L42" s="154"/>
      <c r="M42" s="305"/>
      <c r="N42" s="1199"/>
      <c r="O42" s="889" t="str">
        <f>VLOOKUP(VLOOKUP($C$3&amp;"-"&amp;$D42,Import!$C:$D,2,FALSE),Parameters!$C$18:$F$22,Summary!$C$7,FALSE)</f>
        <v xml:space="preserve">0 - Vastaus puuttuu </v>
      </c>
      <c r="P42" s="921" t="str">
        <f>IF(VLOOKUP($C$3&amp;"-"&amp;$D42,Import!$C:$H,3,FALSE)=0,"",VLOOKUP($C$3&amp;"-"&amp;$D42,Import!$C:$H,3,FALSE))</f>
        <v/>
      </c>
      <c r="Q42" s="921" t="str">
        <f>IF(VLOOKUP($C$3&amp;"-"&amp;$D42,Import!$C:$H,4,FALSE)=0,"",VLOOKUP($C$3&amp;"-"&amp;$D42,Import!$C:$H,4,FALSE))</f>
        <v/>
      </c>
      <c r="R42" s="921" t="str">
        <f>IF(VLOOKUP($C$3&amp;"-"&amp;$D42,Import!$C:$H,5,FALSE)=0,"",VLOOKUP($C$3&amp;"-"&amp;$D42,Import!$C:$H,5,FALSE))</f>
        <v/>
      </c>
      <c r="S42" s="922" t="str">
        <f>IF(VLOOKUP($C$3&amp;"-"&amp;$D42,Import!$C:$H,6,FALSE)=0,"",VLOOKUP($C$3&amp;"-"&amp;$D42,Import!$C:$H,6,FALSE))</f>
        <v/>
      </c>
      <c r="T42" s="154"/>
      <c r="U42" s="252"/>
    </row>
    <row r="43" spans="1:21" s="296" customFormat="1" ht="34.950000000000003" customHeight="1" x14ac:dyDescent="0.2">
      <c r="A43" s="305"/>
      <c r="B43" s="1199"/>
      <c r="C43" s="1207">
        <v>2</v>
      </c>
      <c r="D43" s="395" t="s">
        <v>21</v>
      </c>
      <c r="E43" s="467" t="str">
        <f>IF(VLOOKUP(CONCATENATE($C$3,"-",$D43),Languages!$A:$D,1,TRUE)=CONCATENATE($C$3,"-",$D43),VLOOKUP(CONCATENATE($C$3,"-",$D43),Languages!$A:$D,Summary!$C$7,TRUE),NA())</f>
        <v>Toiminnolle on määritetty uhkaprofiili. Uhkaprofiilissa kuvataan uhkatavoitteet sekä lisäksi uhkan ominaispiirteitä, kuten tyypilliset uhkatekijät, motiivit, kyvykkyydet ja kohteet.</v>
      </c>
      <c r="F43" s="386">
        <f t="shared" si="1"/>
        <v>0</v>
      </c>
      <c r="G43" s="445" t="s">
        <v>2542</v>
      </c>
      <c r="H43" s="442"/>
      <c r="I43" s="442"/>
      <c r="J43" s="442"/>
      <c r="K43" s="451"/>
      <c r="L43" s="154"/>
      <c r="M43" s="305"/>
      <c r="N43" s="1199"/>
      <c r="O43" s="892" t="str">
        <f>VLOOKUP(VLOOKUP($C$3&amp;"-"&amp;$D43,Import!$C:$D,2,FALSE),Parameters!$C$18:$F$22,Summary!$C$7,FALSE)</f>
        <v xml:space="preserve">0 - Vastaus puuttuu </v>
      </c>
      <c r="P43" s="916" t="str">
        <f>IF(VLOOKUP($C$3&amp;"-"&amp;$D43,Import!$C:$H,3,FALSE)=0,"",VLOOKUP($C$3&amp;"-"&amp;$D43,Import!$C:$H,3,FALSE))</f>
        <v/>
      </c>
      <c r="Q43" s="916" t="str">
        <f>IF(VLOOKUP($C$3&amp;"-"&amp;$D43,Import!$C:$H,4,FALSE)=0,"",VLOOKUP($C$3&amp;"-"&amp;$D43,Import!$C:$H,4,FALSE))</f>
        <v/>
      </c>
      <c r="R43" s="916" t="str">
        <f>IF(VLOOKUP($C$3&amp;"-"&amp;$D43,Import!$C:$H,5,FALSE)=0,"",VLOOKUP($C$3&amp;"-"&amp;$D43,Import!$C:$H,5,FALSE))</f>
        <v/>
      </c>
      <c r="S43" s="917" t="str">
        <f>IF(VLOOKUP($C$3&amp;"-"&amp;$D43,Import!$C:$H,6,FALSE)=0,"",VLOOKUP($C$3&amp;"-"&amp;$D43,Import!$C:$H,6,FALSE))</f>
        <v/>
      </c>
      <c r="T43" s="154"/>
      <c r="U43" s="252"/>
    </row>
    <row r="44" spans="1:21" s="296" customFormat="1" ht="34.950000000000003" customHeight="1" x14ac:dyDescent="0.2">
      <c r="A44" s="305"/>
      <c r="B44" s="1199"/>
      <c r="C44" s="1212"/>
      <c r="D44" s="294" t="s">
        <v>103</v>
      </c>
      <c r="E44" s="468" t="str">
        <f>IF(VLOOKUP(CONCATENATE($C$3,"-",$D44),Languages!$A:$D,1,TRUE)=CONCATENATE($C$3,"-",$D44),VLOOKUP(CONCATENATE($C$3,"-",$D44),Languages!$A:$D,Summary!$C$7,TRUE),NA())</f>
        <v>Uhkatiedon lähteet kattavat kaikki uhkaprofiilin eri osat ja näitä tietolähteitä seurataan säännöllisesti.</v>
      </c>
      <c r="F44" s="287">
        <f t="shared" si="1"/>
        <v>0</v>
      </c>
      <c r="G44" s="307" t="s">
        <v>2542</v>
      </c>
      <c r="H44" s="443"/>
      <c r="I44" s="443"/>
      <c r="J44" s="443"/>
      <c r="K44" s="452"/>
      <c r="L44" s="154"/>
      <c r="M44" s="305"/>
      <c r="N44" s="1199"/>
      <c r="O44" s="892" t="str">
        <f>VLOOKUP(VLOOKUP($C$3&amp;"-"&amp;$D44,Import!$C:$D,2,FALSE),Parameters!$C$18:$F$22,Summary!$C$7,FALSE)</f>
        <v xml:space="preserve">0 - Vastaus puuttuu </v>
      </c>
      <c r="P44" s="916" t="str">
        <f>IF(VLOOKUP($C$3&amp;"-"&amp;$D44,Import!$C:$H,3,FALSE)=0,"",VLOOKUP($C$3&amp;"-"&amp;$D44,Import!$C:$H,3,FALSE))</f>
        <v/>
      </c>
      <c r="Q44" s="916" t="str">
        <f>IF(VLOOKUP($C$3&amp;"-"&amp;$D44,Import!$C:$H,4,FALSE)=0,"",VLOOKUP($C$3&amp;"-"&amp;$D44,Import!$C:$H,4,FALSE))</f>
        <v/>
      </c>
      <c r="R44" s="916" t="str">
        <f>IF(VLOOKUP($C$3&amp;"-"&amp;$D44,Import!$C:$H,5,FALSE)=0,"",VLOOKUP($C$3&amp;"-"&amp;$D44,Import!$C:$H,5,FALSE))</f>
        <v/>
      </c>
      <c r="S44" s="917" t="str">
        <f>IF(VLOOKUP($C$3&amp;"-"&amp;$D44,Import!$C:$H,6,FALSE)=0,"",VLOOKUP($C$3&amp;"-"&amp;$D44,Import!$C:$H,6,FALSE))</f>
        <v/>
      </c>
      <c r="T44" s="154"/>
      <c r="U44" s="252"/>
    </row>
    <row r="45" spans="1:21" s="296" customFormat="1" ht="60" customHeight="1" x14ac:dyDescent="0.2">
      <c r="A45" s="305"/>
      <c r="B45" s="1199"/>
      <c r="C45" s="1212"/>
      <c r="D45" s="396" t="s">
        <v>165</v>
      </c>
      <c r="E45" s="474" t="str">
        <f>IF(VLOOKUP(CONCATENATE($C$3,"-",$D45),Languages!$A:$D,1,TRUE)=CONCATENATE($C$3,"-",$D45),VLOOKUP(CONCATENATE($C$3,"-",$D45),Languages!$A:$D,Summary!$C$7,TRUE),NA())</f>
        <v>Tunnistetut uhat analysoidaan, priorisoidaan ja niihin puututaan tilanteen edellyttämin keinoin.</v>
      </c>
      <c r="F45" s="393">
        <f t="shared" si="1"/>
        <v>0</v>
      </c>
      <c r="G45" s="449" t="s">
        <v>2542</v>
      </c>
      <c r="H45" s="444"/>
      <c r="I45" s="444"/>
      <c r="J45" s="444"/>
      <c r="K45" s="453"/>
      <c r="L45" s="154"/>
      <c r="M45" s="305"/>
      <c r="N45" s="1199"/>
      <c r="O45" s="897" t="str">
        <f>VLOOKUP(VLOOKUP($C$3&amp;"-"&amp;$D45,Import!$C:$D,2,FALSE),Parameters!$C$18:$F$22,Summary!$C$7,FALSE)</f>
        <v xml:space="preserve">0 - Vastaus puuttuu </v>
      </c>
      <c r="P45" s="923" t="str">
        <f>IF(VLOOKUP($C$3&amp;"-"&amp;$D45,Import!$C:$H,3,FALSE)=0,"",VLOOKUP($C$3&amp;"-"&amp;$D45,Import!$C:$H,3,FALSE))</f>
        <v/>
      </c>
      <c r="Q45" s="923" t="str">
        <f>IF(VLOOKUP($C$3&amp;"-"&amp;$D45,Import!$C:$H,4,FALSE)=0,"",VLOOKUP($C$3&amp;"-"&amp;$D45,Import!$C:$H,4,FALSE))</f>
        <v/>
      </c>
      <c r="R45" s="923" t="str">
        <f>IF(VLOOKUP($C$3&amp;"-"&amp;$D45,Import!$C:$H,5,FALSE)=0,"",VLOOKUP($C$3&amp;"-"&amp;$D45,Import!$C:$H,5,FALSE))</f>
        <v/>
      </c>
      <c r="S45" s="924" t="str">
        <f>IF(VLOOKUP($C$3&amp;"-"&amp;$D45,Import!$C:$H,6,FALSE)=0,"",VLOOKUP($C$3&amp;"-"&amp;$D45,Import!$C:$H,6,FALSE))</f>
        <v/>
      </c>
      <c r="T45" s="154"/>
      <c r="U45" s="252"/>
    </row>
    <row r="46" spans="1:21" s="296" customFormat="1" ht="49.2" customHeight="1" x14ac:dyDescent="0.2">
      <c r="A46" s="305"/>
      <c r="B46" s="1199"/>
      <c r="C46" s="1208"/>
      <c r="D46" s="399" t="s">
        <v>167</v>
      </c>
      <c r="E46" s="466" t="str">
        <f>IF(VLOOKUP(CONCATENATE($C$3,"-",$D46),Languages!$A:$D,1,TRUE)=CONCATENATE($C$3,"-",$D46),VLOOKUP(CONCATENATE($C$3,"-",$D46),Languages!$A:$D,Summary!$C$7,TRUE),NA())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F46" s="391">
        <f t="shared" si="1"/>
        <v>0</v>
      </c>
      <c r="G46" s="456" t="s">
        <v>2542</v>
      </c>
      <c r="H46" s="454"/>
      <c r="I46" s="454"/>
      <c r="J46" s="454"/>
      <c r="K46" s="455"/>
      <c r="L46" s="154"/>
      <c r="M46" s="305"/>
      <c r="N46" s="1199"/>
      <c r="O46" s="936" t="str">
        <f>VLOOKUP(VLOOKUP($C$3&amp;"-"&amp;$D46,Import!$C:$D,2,FALSE),Parameters!$C$18:$F$22,Summary!$C$7,FALSE)</f>
        <v xml:space="preserve">0 - Vastaus puuttuu </v>
      </c>
      <c r="P46" s="1043" t="str">
        <f>IF(VLOOKUP($C$3&amp;"-"&amp;$D46,Import!$C:$H,3,FALSE)=0,"",VLOOKUP($C$3&amp;"-"&amp;$D46,Import!$C:$H,3,FALSE))</f>
        <v/>
      </c>
      <c r="Q46" s="1043" t="str">
        <f>IF(VLOOKUP($C$3&amp;"-"&amp;$D46,Import!$C:$H,4,FALSE)=0,"",VLOOKUP($C$3&amp;"-"&amp;$D46,Import!$C:$H,4,FALSE))</f>
        <v/>
      </c>
      <c r="R46" s="1043" t="str">
        <f>IF(VLOOKUP($C$3&amp;"-"&amp;$D46,Import!$C:$H,5,FALSE)=0,"",VLOOKUP($C$3&amp;"-"&amp;$D46,Import!$C:$H,5,FALSE))</f>
        <v/>
      </c>
      <c r="S46" s="1044" t="str">
        <f>IF(VLOOKUP($C$3&amp;"-"&amp;$D46,Import!$C:$H,6,FALSE)=0,"",VLOOKUP($C$3&amp;"-"&amp;$D46,Import!$C:$H,6,FALSE))</f>
        <v/>
      </c>
      <c r="T46" s="154"/>
      <c r="U46" s="252"/>
    </row>
    <row r="47" spans="1:21" s="296" customFormat="1" ht="34.950000000000003" customHeight="1" x14ac:dyDescent="0.2">
      <c r="A47" s="305"/>
      <c r="B47" s="1199"/>
      <c r="C47" s="1209">
        <v>3</v>
      </c>
      <c r="D47" s="1049" t="s">
        <v>198</v>
      </c>
      <c r="E47" s="475" t="str">
        <f>IF(VLOOKUP(CONCATENATE($C$3,"-",$D47),Languages!$A:$D,1,TRUE)=CONCATENATE($C$3,"-",$D47),VLOOKUP(CONCATENATE($C$3,"-",$D47),Languages!$A:$D,Summary!$C$7,TRUE),NA())</f>
        <v>Toiminnon uhkaprofiili päivitetään aika ajoin ja määriteltyjen tilanteiden kuten järjestelmämuutosten tai ulkoisten tapahtumien yhteydessä.</v>
      </c>
      <c r="F47" s="394">
        <f t="shared" si="1"/>
        <v>0</v>
      </c>
      <c r="G47" s="491" t="s">
        <v>2542</v>
      </c>
      <c r="H47" s="1047"/>
      <c r="I47" s="1047"/>
      <c r="J47" s="1047"/>
      <c r="K47" s="1048"/>
      <c r="L47" s="154"/>
      <c r="M47" s="305"/>
      <c r="N47" s="1199"/>
      <c r="O47" s="889" t="str">
        <f>VLOOKUP(VLOOKUP($C$3&amp;"-"&amp;$D47,Import!$C:$D,2,FALSE),Parameters!$C$18:$F$22,Summary!$C$7,FALSE)</f>
        <v xml:space="preserve">0 - Vastaus puuttuu </v>
      </c>
      <c r="P47" s="921" t="str">
        <f>IF(VLOOKUP($C$3&amp;"-"&amp;$D47,Import!$C:$H,3,FALSE)=0,"",VLOOKUP($C$3&amp;"-"&amp;$D47,Import!$C:$H,3,FALSE))</f>
        <v/>
      </c>
      <c r="Q47" s="921" t="str">
        <f>IF(VLOOKUP($C$3&amp;"-"&amp;$D47,Import!$C:$H,4,FALSE)=0,"",VLOOKUP($C$3&amp;"-"&amp;$D47,Import!$C:$H,4,FALSE))</f>
        <v/>
      </c>
      <c r="R47" s="921" t="str">
        <f>IF(VLOOKUP($C$3&amp;"-"&amp;$D47,Import!$C:$H,5,FALSE)=0,"",VLOOKUP($C$3&amp;"-"&amp;$D47,Import!$C:$H,5,FALSE))</f>
        <v/>
      </c>
      <c r="S47" s="922" t="str">
        <f>IF(VLOOKUP($C$3&amp;"-"&amp;$D47,Import!$C:$H,6,FALSE)=0,"",VLOOKUP($C$3&amp;"-"&amp;$D47,Import!$C:$H,6,FALSE))</f>
        <v/>
      </c>
      <c r="T47" s="154"/>
      <c r="U47" s="252"/>
    </row>
    <row r="48" spans="1:21" s="296" customFormat="1" ht="34.950000000000003" customHeight="1" x14ac:dyDescent="0.2">
      <c r="A48" s="305"/>
      <c r="B48" s="1199"/>
      <c r="C48" s="1210"/>
      <c r="D48" s="294" t="s">
        <v>200</v>
      </c>
      <c r="E48" s="468" t="str">
        <f>IF(VLOOKUP(CONCATENATE($C$3,"-",$D48),Languages!$A:$D,1,TRUE)=CONCATENATE($C$3,"-",$D48),VLOOKUP(CONCATENATE($C$3,"-",$D48),Languages!$A:$D,Summary!$C$7,TRUE),NA())</f>
        <v>Uhkien seurannassa ja niihin reagoimisessa noudatetaan ennalta määriteltyjä toimintatiloja [kts. SITUATION-3g].</v>
      </c>
      <c r="F48" s="287">
        <f t="shared" si="1"/>
        <v>0</v>
      </c>
      <c r="G48" s="307" t="s">
        <v>2542</v>
      </c>
      <c r="H48" s="443"/>
      <c r="I48" s="443"/>
      <c r="J48" s="443"/>
      <c r="K48" s="452"/>
      <c r="L48" s="154"/>
      <c r="M48" s="305"/>
      <c r="N48" s="1199"/>
      <c r="O48" s="892" t="str">
        <f>VLOOKUP(VLOOKUP($C$3&amp;"-"&amp;$D48,Import!$C:$D,2,FALSE),Parameters!$C$18:$F$22,Summary!$C$7,FALSE)</f>
        <v xml:space="preserve">0 - Vastaus puuttuu </v>
      </c>
      <c r="P48" s="916" t="str">
        <f>IF(VLOOKUP($C$3&amp;"-"&amp;$D48,Import!$C:$H,3,FALSE)=0,"",VLOOKUP($C$3&amp;"-"&amp;$D48,Import!$C:$H,3,FALSE))</f>
        <v/>
      </c>
      <c r="Q48" s="916" t="str">
        <f>IF(VLOOKUP($C$3&amp;"-"&amp;$D48,Import!$C:$H,4,FALSE)=0,"",VLOOKUP($C$3&amp;"-"&amp;$D48,Import!$C:$H,4,FALSE))</f>
        <v/>
      </c>
      <c r="R48" s="916" t="str">
        <f>IF(VLOOKUP($C$3&amp;"-"&amp;$D48,Import!$C:$H,5,FALSE)=0,"",VLOOKUP($C$3&amp;"-"&amp;$D48,Import!$C:$H,5,FALSE))</f>
        <v/>
      </c>
      <c r="S48" s="917" t="str">
        <f>IF(VLOOKUP($C$3&amp;"-"&amp;$D48,Import!$C:$H,6,FALSE)=0,"",VLOOKUP($C$3&amp;"-"&amp;$D48,Import!$C:$H,6,FALSE))</f>
        <v/>
      </c>
      <c r="T48" s="154"/>
      <c r="U48" s="252"/>
    </row>
    <row r="49" spans="1:21" s="296" customFormat="1" ht="45" customHeight="1" x14ac:dyDescent="0.2">
      <c r="A49" s="305"/>
      <c r="B49" s="1199"/>
      <c r="C49" s="1211"/>
      <c r="D49" s="396" t="s">
        <v>202</v>
      </c>
      <c r="E49" s="474" t="str">
        <f>IF(VLOOKUP(CONCATENATE($C$3,"-",$D49),Languages!$A:$D,1,TRUE)=CONCATENATE($C$3,"-",$D49),VLOOKUP(CONCATENATE($C$3,"-",$D49),Languages!$A:$D,Summary!$C$7,TRUE),NA())</f>
        <v>Uhkatietoa käsitellään noudattaen turvallisia ja mahdollisimman reaaliaikaisia menetelmiä, joilla varmistetaan uhkien nopea analysointi ja nopea puuttuminen.</v>
      </c>
      <c r="F49" s="393">
        <f t="shared" si="1"/>
        <v>0</v>
      </c>
      <c r="G49" s="449" t="s">
        <v>2542</v>
      </c>
      <c r="H49" s="444"/>
      <c r="I49" s="444"/>
      <c r="J49" s="444"/>
      <c r="K49" s="453"/>
      <c r="L49" s="154"/>
      <c r="M49" s="305"/>
      <c r="N49" s="1199"/>
      <c r="O49" s="897" t="str">
        <f>VLOOKUP(VLOOKUP($C$3&amp;"-"&amp;$D49,Import!$C:$D,2,FALSE),Parameters!$C$18:$F$22,Summary!$C$7,FALSE)</f>
        <v xml:space="preserve">0 - Vastaus puuttuu </v>
      </c>
      <c r="P49" s="923" t="str">
        <f>IF(VLOOKUP($C$3&amp;"-"&amp;$D49,Import!$C:$H,3,FALSE)=0,"",VLOOKUP($C$3&amp;"-"&amp;$D49,Import!$C:$H,3,FALSE))</f>
        <v/>
      </c>
      <c r="Q49" s="923" t="str">
        <f>IF(VLOOKUP($C$3&amp;"-"&amp;$D49,Import!$C:$H,4,FALSE)=0,"",VLOOKUP($C$3&amp;"-"&amp;$D49,Import!$C:$H,4,FALSE))</f>
        <v/>
      </c>
      <c r="R49" s="923" t="str">
        <f>IF(VLOOKUP($C$3&amp;"-"&amp;$D49,Import!$C:$H,5,FALSE)=0,"",VLOOKUP($C$3&amp;"-"&amp;$D49,Import!$C:$H,5,FALSE))</f>
        <v/>
      </c>
      <c r="S49" s="924" t="str">
        <f>IF(VLOOKUP($C$3&amp;"-"&amp;$D49,Import!$C:$H,6,FALSE)=0,"",VLOOKUP($C$3&amp;"-"&amp;$D49,Import!$C:$H,6,FALSE))</f>
        <v/>
      </c>
      <c r="T49" s="154"/>
      <c r="U49" s="252"/>
    </row>
    <row r="50" spans="1:21" s="177" customFormat="1" ht="30" customHeight="1" x14ac:dyDescent="0.25">
      <c r="A50" s="166"/>
      <c r="B50" s="269"/>
      <c r="C50" s="170">
        <v>3</v>
      </c>
      <c r="D50" s="170" t="str">
        <f>IF(VLOOKUP(CONCATENATE($C$3,"-",C50),Languages!$A:$D,1,TRUE)=CONCATENATE($C$3,"-",C50),VLOOKUP(CONCATENATE($C$3,"-",C50),Languages!$A:$D,Summary!$C$7,TRUE),NA())</f>
        <v>Yleisiä hallintatoimia</v>
      </c>
      <c r="E50" s="170"/>
      <c r="F50" s="292"/>
      <c r="G50" s="907"/>
      <c r="H50" s="929"/>
      <c r="I50" s="929"/>
      <c r="J50" s="929"/>
      <c r="K50" s="929"/>
      <c r="L50" s="154"/>
      <c r="M50" s="166"/>
      <c r="N50" s="269"/>
      <c r="O50" s="292"/>
      <c r="P50" s="293"/>
      <c r="Q50" s="293"/>
      <c r="R50" s="293"/>
      <c r="S50" s="293"/>
      <c r="T50" s="154"/>
      <c r="U50" s="252"/>
    </row>
    <row r="51" spans="1:21" s="285" customFormat="1" ht="19.95" customHeight="1" x14ac:dyDescent="0.2">
      <c r="A51" s="304"/>
      <c r="B51" s="279"/>
      <c r="C51" s="280" t="str">
        <f>IF(VLOOKUP("GEN-LEVEL",Languages!$A:$D,1,TRUE)="GEN-LEVEL",VLOOKUP("GEN-LEVEL",Languages!$A:$D,Summary!$C$7,TRUE),NA())</f>
        <v>Taso</v>
      </c>
      <c r="D51" s="280"/>
      <c r="E51" s="281" t="str">
        <f>IF(VLOOKUP("GEN-PRACTICE",Languages!$A:$D,1,TRUE)="GEN-PRACTICE",VLOOKUP("GEN-PRACTICE",Languages!$A:$D,Summary!$C$7,TRUE),NA())</f>
        <v>Käytäntö</v>
      </c>
      <c r="F51" s="282"/>
      <c r="G51" s="904" t="str">
        <f>IF(VLOOKUP("GEN-ANSWER",Languages!$A:$D,1,TRUE)="GEN-ANSWER",VLOOKUP("GEN-ANSWER",Languages!$A:$D,Summary!$C$7,TRUE),NA())</f>
        <v>Vastaus</v>
      </c>
      <c r="H51" s="905" t="str">
        <f>IF(VLOOKUP("KM112",Languages!$A:$D,1,TRUE)="KM112",VLOOKUP("KM112",Languages!$A:$D,Summary!$C$7,TRUE),NA())</f>
        <v>Kommentit</v>
      </c>
      <c r="I51" s="905" t="str">
        <f>IF(VLOOKUP("KM113",Languages!$A:$D,1,TRUE)="KM113",VLOOKUP("KM113",Languages!$A:$D,Summary!$C$7,TRUE),NA())</f>
        <v>Sisäinen viittaus</v>
      </c>
      <c r="J51" s="905" t="str">
        <f>IF(VLOOKUP("KM114",Languages!$A:$D,1,TRUE)="KM114",VLOOKUP("KM114",Languages!$A:$D,Summary!$C$7,TRUE),NA())</f>
        <v>Ulkoinen viittaus</v>
      </c>
      <c r="K51" s="905" t="str">
        <f>IF(VLOOKUP("KM115",Languages!$A:$D,1,TRUE)="KM115",VLOOKUP("KM115",Languages!$A:$D,Summary!$C$7,TRUE),NA())</f>
        <v>Kehityskohde</v>
      </c>
      <c r="L51" s="283"/>
      <c r="M51" s="284"/>
      <c r="N51" s="279"/>
      <c r="O51" s="463" t="str">
        <f>IF(VLOOKUP("GEN-ANSWER",Languages!$A:$D,1,TRUE)="GEN-ANSWER",VLOOKUP("GEN-ANSWER",Languages!$A:$D,Summary!$C$7,TRUE),NA())</f>
        <v>Vastaus</v>
      </c>
      <c r="P51" s="463" t="str">
        <f>IF(VLOOKUP("KM112",Languages!$A:$D,1,TRUE)="KM112",VLOOKUP("KM112",Languages!$A:$D,Summary!$C$7,TRUE),NA())</f>
        <v>Kommentit</v>
      </c>
      <c r="Q51" s="463" t="str">
        <f>IF(VLOOKUP("KM113",Languages!$A:$D,1,TRUE)="KM113",VLOOKUP("KM113",Languages!$A:$D,Summary!$C$7,TRUE),NA())</f>
        <v>Sisäinen viittaus</v>
      </c>
      <c r="R51" s="463" t="str">
        <f>IF(VLOOKUP("KM114",Languages!$A:$D,1,TRUE)="KM114",VLOOKUP("KM114",Languages!$A:$D,Summary!$C$7,TRUE),NA())</f>
        <v>Ulkoinen viittaus</v>
      </c>
      <c r="S51" s="463" t="str">
        <f>IF(VLOOKUP("KM115",Languages!$A:$D,1,TRUE)="KM115",VLOOKUP("KM115",Languages!$A:$D,Summary!$C$7,TRUE),NA())</f>
        <v>Kehityskohde</v>
      </c>
      <c r="T51" s="283"/>
      <c r="U51" s="284"/>
    </row>
    <row r="52" spans="1:21" s="311" customFormat="1" ht="19.95" customHeight="1" x14ac:dyDescent="0.2">
      <c r="A52" s="284"/>
      <c r="B52" s="279"/>
      <c r="C52" s="524">
        <v>1</v>
      </c>
      <c r="D52" s="401"/>
      <c r="E52" s="402"/>
      <c r="F52" s="404"/>
      <c r="G52" s="908"/>
      <c r="H52" s="909"/>
      <c r="I52" s="909"/>
      <c r="J52" s="909"/>
      <c r="K52" s="910"/>
      <c r="L52" s="154"/>
      <c r="M52" s="284"/>
      <c r="N52" s="279"/>
      <c r="O52" s="517"/>
      <c r="P52" s="403"/>
      <c r="Q52" s="403"/>
      <c r="R52" s="403"/>
      <c r="S52" s="405"/>
      <c r="T52" s="154"/>
      <c r="U52" s="252"/>
    </row>
    <row r="53" spans="1:21" s="296" customFormat="1" ht="34.950000000000003" customHeight="1" x14ac:dyDescent="0.2">
      <c r="A53" s="305"/>
      <c r="B53" s="1199"/>
      <c r="C53" s="1207">
        <v>2</v>
      </c>
      <c r="D53" s="395" t="s">
        <v>22</v>
      </c>
      <c r="E53" s="467" t="str">
        <f>IF(VLOOKUP(CONCATENATE($C$3,"-",$D53),Languages!$A:$D,1,TRUE)=CONCATENATE($C$3,"-",$D53),VLOOKUP(CONCATENATE($C$3,"-",$D53),Languages!$A:$D,Summary!$C$7,TRUE),NA())</f>
        <v>THREAT-osion toimintaa varten on määritetty dokumentoidut toimintatavat, joita noudatetaan ja päivitetään säännöllisesti.</v>
      </c>
      <c r="F53" s="386">
        <f t="shared" ref="F53:F58" si="2">IFERROR(INT(LEFT($G53,1)),0)</f>
        <v>0</v>
      </c>
      <c r="G53" s="445" t="s">
        <v>2542</v>
      </c>
      <c r="H53" s="442"/>
      <c r="I53" s="442"/>
      <c r="J53" s="442"/>
      <c r="K53" s="451"/>
      <c r="L53" s="154"/>
      <c r="M53" s="305"/>
      <c r="N53" s="1199"/>
      <c r="O53" s="889" t="str">
        <f>VLOOKUP(VLOOKUP($C$3&amp;"-"&amp;$D53,Import!$C:$D,2,FALSE),Parameters!$C$18:$F$22,Summary!$C$7,FALSE)</f>
        <v xml:space="preserve">0 - Vastaus puuttuu </v>
      </c>
      <c r="P53" s="921" t="str">
        <f>IF(VLOOKUP($C$3&amp;"-"&amp;$D53,Import!$C:$H,3,FALSE)=0,"",VLOOKUP($C$3&amp;"-"&amp;$D53,Import!$C:$H,3,FALSE))</f>
        <v/>
      </c>
      <c r="Q53" s="921" t="str">
        <f>IF(VLOOKUP($C$3&amp;"-"&amp;$D53,Import!$C:$H,4,FALSE)=0,"",VLOOKUP($C$3&amp;"-"&amp;$D53,Import!$C:$H,4,FALSE))</f>
        <v/>
      </c>
      <c r="R53" s="921" t="str">
        <f>IF(VLOOKUP($C$3&amp;"-"&amp;$D53,Import!$C:$H,5,FALSE)=0,"",VLOOKUP($C$3&amp;"-"&amp;$D53,Import!$C:$H,5,FALSE))</f>
        <v/>
      </c>
      <c r="S53" s="922" t="str">
        <f>IF(VLOOKUP($C$3&amp;"-"&amp;$D53,Import!$C:$H,6,FALSE)=0,"",VLOOKUP($C$3&amp;"-"&amp;$D53,Import!$C:$H,6,FALSE))</f>
        <v/>
      </c>
      <c r="T53" s="154"/>
      <c r="U53" s="252"/>
    </row>
    <row r="54" spans="1:21" s="296" customFormat="1" ht="34.950000000000003" customHeight="1" x14ac:dyDescent="0.2">
      <c r="A54" s="305"/>
      <c r="B54" s="1199"/>
      <c r="C54" s="1208"/>
      <c r="D54" s="396" t="s">
        <v>23</v>
      </c>
      <c r="E54" s="474" t="str">
        <f>IF(VLOOKUP(CONCATENATE($C$3,"-",$D54),Languages!$A:$D,1,TRUE)=CONCATENATE($C$3,"-",$D54),VLOOKUP(CONCATENATE($C$3,"-",$D54),Languages!$A:$D,Summary!$C$7,TRUE),NA())</f>
        <v>THREAT-osion toimintaa varten on tarjolla riittävät resurssit (henkilöstö, rahoitus ja työkalut).</v>
      </c>
      <c r="F54" s="393">
        <f t="shared" si="2"/>
        <v>0</v>
      </c>
      <c r="G54" s="449" t="s">
        <v>2542</v>
      </c>
      <c r="H54" s="444"/>
      <c r="I54" s="444"/>
      <c r="J54" s="444"/>
      <c r="K54" s="453"/>
      <c r="L54" s="154"/>
      <c r="M54" s="305"/>
      <c r="N54" s="1199"/>
      <c r="O54" s="897" t="str">
        <f>VLOOKUP(VLOOKUP($C$3&amp;"-"&amp;$D54,Import!$C:$D,2,FALSE),Parameters!$C$18:$F$22,Summary!$C$7,FALSE)</f>
        <v xml:space="preserve">0 - Vastaus puuttuu </v>
      </c>
      <c r="P54" s="923" t="str">
        <f>IF(VLOOKUP($C$3&amp;"-"&amp;$D54,Import!$C:$H,3,FALSE)=0,"",VLOOKUP($C$3&amp;"-"&amp;$D54,Import!$C:$H,3,FALSE))</f>
        <v/>
      </c>
      <c r="Q54" s="923" t="str">
        <f>IF(VLOOKUP($C$3&amp;"-"&amp;$D54,Import!$C:$H,4,FALSE)=0,"",VLOOKUP($C$3&amp;"-"&amp;$D54,Import!$C:$H,4,FALSE))</f>
        <v/>
      </c>
      <c r="R54" s="923" t="str">
        <f>IF(VLOOKUP($C$3&amp;"-"&amp;$D54,Import!$C:$H,5,FALSE)=0,"",VLOOKUP($C$3&amp;"-"&amp;$D54,Import!$C:$H,5,FALSE))</f>
        <v/>
      </c>
      <c r="S54" s="924" t="str">
        <f>IF(VLOOKUP($C$3&amp;"-"&amp;$D54,Import!$C:$H,6,FALSE)=0,"",VLOOKUP($C$3&amp;"-"&amp;$D54,Import!$C:$H,6,FALSE))</f>
        <v/>
      </c>
      <c r="T54" s="154"/>
      <c r="U54" s="252"/>
    </row>
    <row r="55" spans="1:21" s="296" customFormat="1" ht="45" customHeight="1" x14ac:dyDescent="0.2">
      <c r="A55" s="305"/>
      <c r="B55" s="1199"/>
      <c r="C55" s="1209">
        <v>3</v>
      </c>
      <c r="D55" s="395" t="s">
        <v>24</v>
      </c>
      <c r="E55" s="467" t="str">
        <f>IF(VLOOKUP(CONCATENATE($C$3,"-",$D55),Languages!$A:$D,1,TRUE)=CONCATENATE($C$3,"-",$D55),VLOOKUP(CONCATENATE($C$3,"-",$D55),Languages!$A:$D,Summary!$C$7,TRUE),NA())</f>
        <v>THREAT-osion toimintaa ohjataan vaatimuksilla, jotka on asetettu organisaation johtotason politiikassa (tai vastaavassa ohjeistuksessa).</v>
      </c>
      <c r="F55" s="386">
        <f t="shared" si="2"/>
        <v>0</v>
      </c>
      <c r="G55" s="445" t="s">
        <v>2542</v>
      </c>
      <c r="H55" s="442"/>
      <c r="I55" s="442"/>
      <c r="J55" s="442"/>
      <c r="K55" s="451"/>
      <c r="L55" s="154"/>
      <c r="M55" s="305"/>
      <c r="N55" s="1199"/>
      <c r="O55" s="889" t="str">
        <f>VLOOKUP(VLOOKUP($C$3&amp;"-"&amp;$D55,Import!$C:$D,2,FALSE),Parameters!$C$18:$F$22,Summary!$C$7,FALSE)</f>
        <v xml:space="preserve">0 - Vastaus puuttuu </v>
      </c>
      <c r="P55" s="921" t="str">
        <f>IF(VLOOKUP($C$3&amp;"-"&amp;$D55,Import!$C:$H,3,FALSE)=0,"",VLOOKUP($C$3&amp;"-"&amp;$D55,Import!$C:$H,3,FALSE))</f>
        <v/>
      </c>
      <c r="Q55" s="921" t="str">
        <f>IF(VLOOKUP($C$3&amp;"-"&amp;$D55,Import!$C:$H,4,FALSE)=0,"",VLOOKUP($C$3&amp;"-"&amp;$D55,Import!$C:$H,4,FALSE))</f>
        <v/>
      </c>
      <c r="R55" s="921" t="str">
        <f>IF(VLOOKUP($C$3&amp;"-"&amp;$D55,Import!$C:$H,5,FALSE)=0,"",VLOOKUP($C$3&amp;"-"&amp;$D55,Import!$C:$H,5,FALSE))</f>
        <v/>
      </c>
      <c r="S55" s="922" t="str">
        <f>IF(VLOOKUP($C$3&amp;"-"&amp;$D55,Import!$C:$H,6,FALSE)=0,"",VLOOKUP($C$3&amp;"-"&amp;$D55,Import!$C:$H,6,FALSE))</f>
        <v/>
      </c>
      <c r="T55" s="154"/>
      <c r="U55" s="252"/>
    </row>
    <row r="56" spans="1:21" s="296" customFormat="1" ht="34.950000000000003" customHeight="1" x14ac:dyDescent="0.2">
      <c r="A56" s="305"/>
      <c r="B56" s="1199"/>
      <c r="C56" s="1210"/>
      <c r="D56" s="294" t="s">
        <v>25</v>
      </c>
      <c r="E56" s="468" t="str">
        <f>IF(VLOOKUP(CONCATENATE($C$3,"-",$D56),Languages!$A:$D,1,TRUE)=CONCATENATE($C$3,"-",$D56),VLOOKUP(CONCATENATE($C$3,"-",$D56),Languages!$A:$D,Summary!$C$7,TRUE),NA())</f>
        <v>THREAT-osion toiminnan suorittamiseen tarvittavat vastuut, tilivelvollisuudet ja valtuutukset on jalkautettu soveltuville työntekijöille.</v>
      </c>
      <c r="F56" s="287">
        <f t="shared" si="2"/>
        <v>0</v>
      </c>
      <c r="G56" s="307" t="s">
        <v>2542</v>
      </c>
      <c r="H56" s="443"/>
      <c r="I56" s="443"/>
      <c r="J56" s="443"/>
      <c r="K56" s="452"/>
      <c r="L56" s="154"/>
      <c r="M56" s="305"/>
      <c r="N56" s="1199"/>
      <c r="O56" s="892" t="str">
        <f>VLOOKUP(VLOOKUP($C$3&amp;"-"&amp;$D56,Import!$C:$D,2,FALSE),Parameters!$C$18:$F$22,Summary!$C$7,FALSE)</f>
        <v xml:space="preserve">0 - Vastaus puuttuu </v>
      </c>
      <c r="P56" s="916" t="str">
        <f>IF(VLOOKUP($C$3&amp;"-"&amp;$D56,Import!$C:$H,3,FALSE)=0,"",VLOOKUP($C$3&amp;"-"&amp;$D56,Import!$C:$H,3,FALSE))</f>
        <v/>
      </c>
      <c r="Q56" s="916" t="str">
        <f>IF(VLOOKUP($C$3&amp;"-"&amp;$D56,Import!$C:$H,4,FALSE)=0,"",VLOOKUP($C$3&amp;"-"&amp;$D56,Import!$C:$H,4,FALSE))</f>
        <v/>
      </c>
      <c r="R56" s="916" t="str">
        <f>IF(VLOOKUP($C$3&amp;"-"&amp;$D56,Import!$C:$H,5,FALSE)=0,"",VLOOKUP($C$3&amp;"-"&amp;$D56,Import!$C:$H,5,FALSE))</f>
        <v/>
      </c>
      <c r="S56" s="917" t="str">
        <f>IF(VLOOKUP($C$3&amp;"-"&amp;$D56,Import!$C:$H,6,FALSE)=0,"",VLOOKUP($C$3&amp;"-"&amp;$D56,Import!$C:$H,6,FALSE))</f>
        <v/>
      </c>
      <c r="T56" s="154"/>
      <c r="U56" s="252"/>
    </row>
    <row r="57" spans="1:21" s="296" customFormat="1" ht="45" customHeight="1" x14ac:dyDescent="0.2">
      <c r="A57" s="305"/>
      <c r="B57" s="1199"/>
      <c r="C57" s="1210"/>
      <c r="D57" s="294" t="s">
        <v>26</v>
      </c>
      <c r="E57" s="468" t="str">
        <f>IF(VLOOKUP(CONCATENATE($C$3,"-",$D57),Languages!$A:$D,1,TRUE)=CONCATENATE($C$3,"-",$D57),VLOOKUP(CONCATENATE($C$3,"-",$D57),Languages!$A:$D,Summary!$C$7,TRUE),NA())</f>
        <v>THREAT-osion toimintaa suorittavilla työntekijöillä on riittävät tiedot ja taidot tehtäviensä suorittamiseen.</v>
      </c>
      <c r="F57" s="287">
        <f t="shared" si="2"/>
        <v>0</v>
      </c>
      <c r="G57" s="307" t="s">
        <v>2542</v>
      </c>
      <c r="H57" s="443"/>
      <c r="I57" s="443"/>
      <c r="J57" s="443"/>
      <c r="K57" s="452"/>
      <c r="L57" s="154"/>
      <c r="M57" s="305"/>
      <c r="N57" s="1199"/>
      <c r="O57" s="892" t="str">
        <f>VLOOKUP(VLOOKUP($C$3&amp;"-"&amp;$D57,Import!$C:$D,2,FALSE),Parameters!$C$18:$F$22,Summary!$C$7,FALSE)</f>
        <v xml:space="preserve">0 - Vastaus puuttuu </v>
      </c>
      <c r="P57" s="916" t="str">
        <f>IF(VLOOKUP($C$3&amp;"-"&amp;$D57,Import!$C:$H,3,FALSE)=0,"",VLOOKUP($C$3&amp;"-"&amp;$D57,Import!$C:$H,3,FALSE))</f>
        <v/>
      </c>
      <c r="Q57" s="916" t="str">
        <f>IF(VLOOKUP($C$3&amp;"-"&amp;$D57,Import!$C:$H,4,FALSE)=0,"",VLOOKUP($C$3&amp;"-"&amp;$D57,Import!$C:$H,4,FALSE))</f>
        <v/>
      </c>
      <c r="R57" s="916" t="str">
        <f>IF(VLOOKUP($C$3&amp;"-"&amp;$D57,Import!$C:$H,5,FALSE)=0,"",VLOOKUP($C$3&amp;"-"&amp;$D57,Import!$C:$H,5,FALSE))</f>
        <v/>
      </c>
      <c r="S57" s="917" t="str">
        <f>IF(VLOOKUP($C$3&amp;"-"&amp;$D57,Import!$C:$H,6,FALSE)=0,"",VLOOKUP($C$3&amp;"-"&amp;$D57,Import!$C:$H,6,FALSE))</f>
        <v/>
      </c>
      <c r="T57" s="154"/>
      <c r="U57" s="252"/>
    </row>
    <row r="58" spans="1:21" s="296" customFormat="1" ht="34.950000000000003" customHeight="1" x14ac:dyDescent="0.2">
      <c r="A58" s="305"/>
      <c r="B58" s="1199"/>
      <c r="C58" s="1211"/>
      <c r="D58" s="396" t="s">
        <v>27</v>
      </c>
      <c r="E58" s="474" t="str">
        <f>IF(VLOOKUP(CONCATENATE($C$3,"-",$D58),Languages!$A:$D,1,TRUE)=CONCATENATE($C$3,"-",$D58),VLOOKUP(CONCATENATE($C$3,"-",$D58),Languages!$A:$D,Summary!$C$7,TRUE),NA())</f>
        <v>THREAT-osion toiminnan vaikuttavuutta arvioidaan ja seurataan.</v>
      </c>
      <c r="F58" s="393">
        <f t="shared" si="2"/>
        <v>0</v>
      </c>
      <c r="G58" s="449" t="s">
        <v>2542</v>
      </c>
      <c r="H58" s="444"/>
      <c r="I58" s="444"/>
      <c r="J58" s="444"/>
      <c r="K58" s="453"/>
      <c r="L58" s="154"/>
      <c r="M58" s="305"/>
      <c r="N58" s="1199"/>
      <c r="O58" s="897" t="str">
        <f>VLOOKUP(VLOOKUP($C$3&amp;"-"&amp;$D58,Import!$C:$D,2,FALSE),Parameters!$C$18:$F$22,Summary!$C$7,FALSE)</f>
        <v xml:space="preserve">0 - Vastaus puuttuu </v>
      </c>
      <c r="P58" s="923" t="str">
        <f>IF(VLOOKUP($C$3&amp;"-"&amp;$D58,Import!$C:$H,3,FALSE)=0,"",VLOOKUP($C$3&amp;"-"&amp;$D58,Import!$C:$H,3,FALSE))</f>
        <v/>
      </c>
      <c r="Q58" s="923" t="str">
        <f>IF(VLOOKUP($C$3&amp;"-"&amp;$D58,Import!$C:$H,4,FALSE)=0,"",VLOOKUP($C$3&amp;"-"&amp;$D58,Import!$C:$H,4,FALSE))</f>
        <v/>
      </c>
      <c r="R58" s="923" t="str">
        <f>IF(VLOOKUP($C$3&amp;"-"&amp;$D58,Import!$C:$H,5,FALSE)=0,"",VLOOKUP($C$3&amp;"-"&amp;$D58,Import!$C:$H,5,FALSE))</f>
        <v/>
      </c>
      <c r="S58" s="924" t="str">
        <f>IF(VLOOKUP($C$3&amp;"-"&amp;$D58,Import!$C:$H,6,FALSE)=0,"",VLOOKUP($C$3&amp;"-"&amp;$D58,Import!$C:$H,6,FALSE))</f>
        <v/>
      </c>
      <c r="T58" s="154"/>
      <c r="U58" s="252"/>
    </row>
    <row r="59" spans="1:21" x14ac:dyDescent="0.2">
      <c r="A59" s="181"/>
      <c r="B59" s="329"/>
      <c r="C59" s="330"/>
      <c r="D59" s="331"/>
      <c r="E59" s="332"/>
      <c r="F59" s="333"/>
      <c r="G59" s="334"/>
      <c r="H59" s="335"/>
      <c r="I59" s="335"/>
      <c r="J59" s="335"/>
      <c r="K59" s="335"/>
      <c r="L59" s="497"/>
      <c r="M59" s="181"/>
      <c r="N59" s="329"/>
      <c r="O59" s="334"/>
      <c r="P59" s="335"/>
      <c r="Q59" s="335"/>
      <c r="R59" s="335"/>
      <c r="S59" s="335"/>
      <c r="T59" s="497"/>
      <c r="U59" s="252"/>
    </row>
    <row r="60" spans="1:21" x14ac:dyDescent="0.25">
      <c r="A60" s="181"/>
      <c r="B60" s="181"/>
      <c r="C60" s="181"/>
      <c r="D60" s="181"/>
      <c r="E60" s="181"/>
      <c r="F60" s="336"/>
      <c r="G60" s="181"/>
      <c r="H60" s="181"/>
      <c r="I60" s="181"/>
      <c r="J60" s="181"/>
      <c r="K60" s="181"/>
      <c r="L60" s="181"/>
      <c r="M60" s="181"/>
      <c r="N60" s="181"/>
      <c r="O60" s="181"/>
      <c r="P60" s="181"/>
      <c r="Q60" s="181"/>
      <c r="R60" s="181"/>
      <c r="S60" s="181"/>
      <c r="T60" s="181"/>
      <c r="U60" s="309"/>
    </row>
    <row r="61" spans="1:21" x14ac:dyDescent="0.25">
      <c r="L61" s="340"/>
      <c r="M61" s="339"/>
      <c r="N61" s="182"/>
      <c r="T61" s="340"/>
      <c r="U61" s="339"/>
    </row>
    <row r="62" spans="1:21" x14ac:dyDescent="0.25">
      <c r="L62" s="340"/>
      <c r="M62" s="339"/>
      <c r="N62" s="182"/>
      <c r="T62" s="340"/>
      <c r="U62" s="339"/>
    </row>
  </sheetData>
  <sheetProtection sheet="1" formatCells="0" formatColumns="0" formatRows="0"/>
  <mergeCells count="44">
    <mergeCell ref="R15:R16"/>
    <mergeCell ref="S15:S16"/>
    <mergeCell ref="O17:O18"/>
    <mergeCell ref="P17:P18"/>
    <mergeCell ref="Q17:Q18"/>
    <mergeCell ref="R17:R18"/>
    <mergeCell ref="S17:S18"/>
    <mergeCell ref="O15:O16"/>
    <mergeCell ref="P15:P16"/>
    <mergeCell ref="Q15:Q16"/>
    <mergeCell ref="C17:K17"/>
    <mergeCell ref="C6:K6"/>
    <mergeCell ref="I8:J8"/>
    <mergeCell ref="I10:J11"/>
    <mergeCell ref="C13:K13"/>
    <mergeCell ref="C15:K15"/>
    <mergeCell ref="O3:S11"/>
    <mergeCell ref="O13:O14"/>
    <mergeCell ref="P13:P14"/>
    <mergeCell ref="Q13:Q14"/>
    <mergeCell ref="R13:R14"/>
    <mergeCell ref="S13:S14"/>
    <mergeCell ref="B57:B58"/>
    <mergeCell ref="B53:B56"/>
    <mergeCell ref="B39:B40"/>
    <mergeCell ref="B41:B49"/>
    <mergeCell ref="B24:B25"/>
    <mergeCell ref="B26:B29"/>
    <mergeCell ref="B30:B36"/>
    <mergeCell ref="N57:N58"/>
    <mergeCell ref="C24:C27"/>
    <mergeCell ref="C28:C32"/>
    <mergeCell ref="C53:C54"/>
    <mergeCell ref="C55:C58"/>
    <mergeCell ref="C33:C36"/>
    <mergeCell ref="N41:N49"/>
    <mergeCell ref="N24:N25"/>
    <mergeCell ref="N26:N29"/>
    <mergeCell ref="N30:N36"/>
    <mergeCell ref="N39:N40"/>
    <mergeCell ref="N53:N56"/>
    <mergeCell ref="C39:C42"/>
    <mergeCell ref="C43:C46"/>
    <mergeCell ref="C47:C49"/>
  </mergeCells>
  <conditionalFormatting sqref="F4:F5 F7:F12 F39:F50 F52:F1048576 F24:F37">
    <cfRule type="containsText" dxfId="223" priority="21" operator="containsText" text="0">
      <formula>NOT(ISERROR(SEARCH("0",F4)))</formula>
    </cfRule>
  </conditionalFormatting>
  <conditionalFormatting sqref="F1 F3">
    <cfRule type="containsText" dxfId="222" priority="14" operator="containsText" text="0">
      <formula>NOT(ISERROR(SEARCH("0",F1)))</formula>
    </cfRule>
  </conditionalFormatting>
  <conditionalFormatting sqref="F2">
    <cfRule type="containsText" dxfId="221" priority="13" operator="containsText" text="0">
      <formula>NOT(ISERROR(SEARCH("0",F2)))</formula>
    </cfRule>
  </conditionalFormatting>
  <conditionalFormatting sqref="F51">
    <cfRule type="containsText" dxfId="220" priority="11" operator="containsText" text="0">
      <formula>NOT(ISERROR(SEARCH("0",F51)))</formula>
    </cfRule>
  </conditionalFormatting>
  <conditionalFormatting sqref="F38">
    <cfRule type="containsText" dxfId="219" priority="9" operator="containsText" text="0">
      <formula>NOT(ISERROR(SEARCH("0",F38)))</formula>
    </cfRule>
  </conditionalFormatting>
  <conditionalFormatting sqref="F23">
    <cfRule type="containsText" dxfId="218" priority="7" operator="containsText" text="0">
      <formula>NOT(ISERROR(SEARCH("0",F23)))</formula>
    </cfRule>
  </conditionalFormatting>
  <conditionalFormatting sqref="F14">
    <cfRule type="containsText" dxfId="217" priority="6" operator="containsText" text="0">
      <formula>NOT(ISERROR(SEARCH("0",F14)))</formula>
    </cfRule>
  </conditionalFormatting>
  <conditionalFormatting sqref="F16">
    <cfRule type="containsText" dxfId="216" priority="4" operator="containsText" text="0">
      <formula>NOT(ISERROR(SEARCH("0",F16)))</formula>
    </cfRule>
  </conditionalFormatting>
  <conditionalFormatting sqref="F22">
    <cfRule type="containsText" dxfId="215" priority="2" operator="containsText" text="0">
      <formula>NOT(ISERROR(SEARCH("0",F22)))</formula>
    </cfRule>
  </conditionalFormatting>
  <pageMargins left="0.7" right="0.7" top="0.75" bottom="0.75" header="0.3" footer="0.3"/>
  <pageSetup paperSize="9" scale="42" orientation="portrait" r:id="rId1"/>
  <rowBreaks count="1" manualBreakCount="1">
    <brk id="49" max="16383" man="1"/>
  </rowBreaks>
  <colBreaks count="1" manualBreakCount="1">
    <brk id="13" max="1048575" man="1"/>
  </colBreaks>
  <ignoredErrors>
    <ignoredError sqref="O24 O25:S34 O39:S49 O53:S58 P36:S36 Q24:S24"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76FB6613-1913-4181-ABBA-B090D95D214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F52</xm:sqref>
        </x14:conditionalFormatting>
        <x14:conditionalFormatting xmlns:xm="http://schemas.microsoft.com/office/excel/2006/main">
          <x14:cfRule type="iconSet" priority="20" id="{095DB739-B76E-4A8E-BFAE-D5896F62EB0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F52:F1048576 F39:F50 F4:F5 F7:F12 F24:F37</xm:sqref>
        </x14:conditionalFormatting>
        <x14:conditionalFormatting xmlns:xm="http://schemas.microsoft.com/office/excel/2006/main">
          <x14:cfRule type="iconSet" priority="15" id="{38BC4B15-C68B-44D1-A815-48987BDE19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8430746D-7FF3-4393-8972-4D01F30BAA2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5AEA4943-04A1-400E-B576-2AE926FDAC7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F51</xm:sqref>
        </x14:conditionalFormatting>
        <x14:conditionalFormatting xmlns:xm="http://schemas.microsoft.com/office/excel/2006/main">
          <x14:cfRule type="iconSet" priority="10" id="{48221DF0-24F7-4DA4-ACA5-111764EBD8C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F38</xm:sqref>
        </x14:conditionalFormatting>
        <x14:conditionalFormatting xmlns:xm="http://schemas.microsoft.com/office/excel/2006/main">
          <x14:cfRule type="iconSet" priority="8" id="{8967BC69-E1E8-4F19-8A52-EB01C54FB57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5" id="{F60EED03-D3BC-4836-B1C1-5019CAC75B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3" id="{0564741F-BE63-4539-A7B6-4D614812D58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1" id="{5694A405-2778-4669-B238-ACA069BD48B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Parameters!$B$18:$B$22</xm:f>
          </x14:formula1>
          <xm:sqref>G24:G36 G39:G49 G53:G58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theme="2" tint="0.79998168889431442"/>
  </sheetPr>
  <dimension ref="A1:U77"/>
  <sheetViews>
    <sheetView showGridLines="0" zoomScale="80" zoomScaleNormal="80" workbookViewId="0"/>
  </sheetViews>
  <sheetFormatPr defaultColWidth="9.26953125" defaultRowHeight="13.8" x14ac:dyDescent="0.25"/>
  <cols>
    <col min="1" max="2" width="1.6328125" style="140" customWidth="1"/>
    <col min="3" max="3" width="2.6328125" style="140" customWidth="1"/>
    <col min="4" max="4" width="3.1796875" style="300" customWidth="1"/>
    <col min="5" max="5" width="55.6328125" style="140" customWidth="1"/>
    <col min="6" max="6" width="2.6328125" style="301" customWidth="1"/>
    <col min="7" max="7" width="14.6328125" style="260" customWidth="1"/>
    <col min="8" max="8" width="30.6328125" customWidth="1"/>
    <col min="9" max="9" width="20.6328125" customWidth="1"/>
    <col min="10" max="10" width="20.6328125" style="302" customWidth="1"/>
    <col min="11" max="11" width="10.6328125" style="140" customWidth="1"/>
    <col min="12" max="12" width="1.6328125" style="303" customWidth="1"/>
    <col min="13" max="13" width="1.6328125" style="140" customWidth="1"/>
    <col min="14" max="14" width="1.6328125" style="303" customWidth="1"/>
    <col min="15" max="15" width="14.6328125" style="260" customWidth="1"/>
    <col min="16" max="16" width="30.6328125" customWidth="1"/>
    <col min="17" max="17" width="20.6328125" customWidth="1"/>
    <col min="18" max="18" width="20.6328125" style="302" customWidth="1"/>
    <col min="19" max="19" width="28.6328125" style="140" customWidth="1"/>
    <col min="20" max="20" width="1.6328125" style="303" customWidth="1"/>
    <col min="21" max="21" width="1.6328125" style="140" customWidth="1"/>
    <col min="22" max="16384" width="9.26953125" style="140"/>
  </cols>
  <sheetData>
    <row r="1" spans="1:2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819"/>
      <c r="O2" s="820"/>
      <c r="P2" s="820"/>
      <c r="Q2" s="820"/>
      <c r="R2" s="820"/>
      <c r="S2" s="820"/>
      <c r="T2" s="821"/>
      <c r="U2" s="252"/>
    </row>
    <row r="3" spans="1:21" s="257" customFormat="1" ht="25.05" customHeight="1" x14ac:dyDescent="0.25">
      <c r="A3" s="252"/>
      <c r="B3" s="149"/>
      <c r="C3" s="150" t="s">
        <v>0</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22"/>
      <c r="O3" s="1184" t="str">
        <f>VLOOKUP($C$3,Infoimport!$B$4:$C$14,2,FALSE)</f>
        <v xml:space="preserve">RISK, tiedot Infoimport-välilehdeltä
</v>
      </c>
      <c r="P3" s="1184"/>
      <c r="Q3" s="1184"/>
      <c r="R3" s="1184"/>
      <c r="S3" s="1184"/>
      <c r="T3" s="823"/>
      <c r="U3" s="252"/>
    </row>
    <row r="4" spans="1:21" ht="25.05" customHeight="1" x14ac:dyDescent="0.3">
      <c r="A4" s="135"/>
      <c r="B4" s="157"/>
      <c r="C4" s="155" t="str">
        <f>IF(VLOOKUP($C$3,Languages!$A:$D,1,TRUE)=$C$3,VLOOKUP($C$3,Languages!$A:$D,Summary!$C$7,TRUE),NA())</f>
        <v>Riskienhallinta (RISK)</v>
      </c>
      <c r="D4" s="258"/>
      <c r="E4" s="259"/>
      <c r="F4" s="261"/>
      <c r="H4" s="261" t="str">
        <f ca="1">VLOOKUP(VLOOKUP(CONCATENATE($C$3),Data!$K:$O,5,FALSE),Parameters!$C$7:$F$10,Summary!$C$7,FALSE)</f>
        <v>Kypsyystaso 0</v>
      </c>
      <c r="I4" s="697"/>
      <c r="J4" s="262"/>
      <c r="K4" s="148"/>
      <c r="L4" s="154"/>
      <c r="M4" s="135"/>
      <c r="N4" s="822"/>
      <c r="O4" s="1184"/>
      <c r="P4" s="1184"/>
      <c r="Q4" s="1184"/>
      <c r="R4" s="1184"/>
      <c r="S4" s="1184"/>
      <c r="T4" s="823"/>
      <c r="U4" s="135"/>
    </row>
    <row r="5" spans="1:21" ht="10.050000000000001" customHeight="1" x14ac:dyDescent="0.25">
      <c r="A5" s="135"/>
      <c r="B5" s="157"/>
      <c r="C5" s="263"/>
      <c r="D5" s="159"/>
      <c r="E5" s="159"/>
      <c r="F5" s="160"/>
      <c r="G5" s="160"/>
      <c r="H5" s="797"/>
      <c r="I5" s="262"/>
      <c r="J5" s="262"/>
      <c r="K5" s="148"/>
      <c r="L5" s="154"/>
      <c r="M5" s="135"/>
      <c r="N5" s="822"/>
      <c r="O5" s="1184"/>
      <c r="P5" s="1184"/>
      <c r="Q5" s="1184"/>
      <c r="R5" s="1184"/>
      <c r="S5" s="1184"/>
      <c r="T5" s="823"/>
      <c r="U5" s="135"/>
    </row>
    <row r="6" spans="1:21" s="184" customFormat="1" ht="67.05" customHeight="1" x14ac:dyDescent="0.2">
      <c r="A6" s="178"/>
      <c r="B6" s="308"/>
      <c r="C6" s="1204" t="str">
        <f>IF(VLOOKUP(CONCATENATE(C3,"-0"),Languages!$A:$D,1,TRUE)=CONCATENATE(C3,"-0"),VLOOKUP(CONCATENATE(C3,"-0"),Languages!$A:$D,Summary!$C$7,TRUE),NA())</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D6" s="1204"/>
      <c r="E6" s="1204"/>
      <c r="F6" s="1204"/>
      <c r="G6" s="1204"/>
      <c r="H6" s="1204"/>
      <c r="I6" s="1204"/>
      <c r="J6" s="1204"/>
      <c r="K6" s="1204"/>
      <c r="L6" s="154"/>
      <c r="M6" s="178"/>
      <c r="N6" s="822"/>
      <c r="O6" s="1184"/>
      <c r="P6" s="1184"/>
      <c r="Q6" s="1184"/>
      <c r="R6" s="1184"/>
      <c r="S6" s="1184"/>
      <c r="T6" s="823"/>
      <c r="U6" s="178"/>
    </row>
    <row r="7" spans="1:21" s="184" customFormat="1" ht="19.95" customHeight="1" x14ac:dyDescent="0.2">
      <c r="A7" s="178"/>
      <c r="B7" s="308"/>
      <c r="C7" s="264">
        <v>1</v>
      </c>
      <c r="D7" s="265" t="s">
        <v>1</v>
      </c>
      <c r="E7" s="266" t="str">
        <f>IF(VLOOKUP(CONCATENATE($C$3,"-",C7),Languages!$A:$D,1,TRUE)=CONCATENATE($C$3,"-",C7),VLOOKUP(CONCATENATE($C$3,"-",C7),Languages!$A:$D,Summary!$C$7,TRUE),NA())</f>
        <v>Kyberriskienhallinnan suunnitelma</v>
      </c>
      <c r="F7" s="310"/>
      <c r="G7" s="310"/>
      <c r="H7" s="267" t="str">
        <f ca="1">VLOOKUP(VLOOKUP(CONCATENATE($C$3,"-",$C7),Data!$K:$O,5,FALSE),Parameters!$C$7:$F$10,Summary!$C$7,FALSE)</f>
        <v>Kypsyystaso 0</v>
      </c>
      <c r="I7" s="465" t="str">
        <f>IF(VLOOKUP("KM110",Languages!$A:$D,1,TRUE)="KM110",VLOOKUP("KM110",Languages!$A:$D,Summary!$C$7,TRUE),NA())</f>
        <v>Päivämäärä</v>
      </c>
      <c r="J7" s="439"/>
      <c r="K7" s="148"/>
      <c r="L7" s="154"/>
      <c r="M7" s="178"/>
      <c r="N7" s="822"/>
      <c r="O7" s="1184"/>
      <c r="P7" s="1184"/>
      <c r="Q7" s="1184"/>
      <c r="R7" s="1184"/>
      <c r="S7" s="1184"/>
      <c r="T7" s="823"/>
      <c r="U7" s="178"/>
    </row>
    <row r="8" spans="1:21" s="184" customFormat="1" ht="19.95" customHeight="1" x14ac:dyDescent="0.2">
      <c r="A8" s="178"/>
      <c r="B8" s="308"/>
      <c r="C8" s="264">
        <v>2</v>
      </c>
      <c r="D8" s="265" t="s">
        <v>1</v>
      </c>
      <c r="E8" s="266" t="str">
        <f>IF(VLOOKUP(CONCATENATE($C$3,"-",C8),Languages!$A:$D,1,TRUE)=CONCATENATE($C$3,"-",C8),VLOOKUP(CONCATENATE($C$3,"-",C8),Languages!$A:$D,Summary!$C$7,TRUE),NA())</f>
        <v>Kyberriskien tunnistaminen</v>
      </c>
      <c r="F8" s="310"/>
      <c r="G8" s="310"/>
      <c r="H8" s="267" t="str">
        <f ca="1">VLOOKUP(VLOOKUP(CONCATENATE($C$3,"-",$C8),Data!$K:$O,5,FALSE),Parameters!$C$7:$F$10,Summary!$C$7,FALSE)</f>
        <v>Kypsyystaso 0</v>
      </c>
      <c r="I8" s="1213"/>
      <c r="J8" s="1206"/>
      <c r="K8" s="148"/>
      <c r="L8" s="154"/>
      <c r="M8" s="178"/>
      <c r="N8" s="822"/>
      <c r="O8" s="1184"/>
      <c r="P8" s="1184"/>
      <c r="Q8" s="1184"/>
      <c r="R8" s="1184"/>
      <c r="S8" s="1184"/>
      <c r="T8" s="823"/>
      <c r="U8" s="178"/>
    </row>
    <row r="9" spans="1:21" s="184" customFormat="1" ht="19.95" customHeight="1" x14ac:dyDescent="0.2">
      <c r="A9" s="178"/>
      <c r="B9" s="308"/>
      <c r="C9" s="264">
        <v>3</v>
      </c>
      <c r="D9" s="265" t="s">
        <v>1</v>
      </c>
      <c r="E9" s="266" t="str">
        <f>IF(VLOOKUP(CONCATENATE($C$3,"-",C9),Languages!$A:$D,1,TRUE)=CONCATENATE($C$3,"-",C9),VLOOKUP(CONCATENATE($C$3,"-",C9),Languages!$A:$D,Summary!$C$7,TRUE),NA())</f>
        <v>Riskien analysointi</v>
      </c>
      <c r="F9" s="310"/>
      <c r="G9" s="310"/>
      <c r="H9" s="267" t="str">
        <f ca="1">VLOOKUP(VLOOKUP(CONCATENATE($C$3,"-",$C9),Data!$K:$O,5,FALSE),Parameters!$C$7:$F$10,Summary!$C$7,FALSE)</f>
        <v>Kypsyystaso 0</v>
      </c>
      <c r="I9" s="465" t="str">
        <f>IF(VLOOKUP("KM111",Languages!$A:$D,1,TRUE)="KM111",VLOOKUP("KM111",Languages!$A:$D,Summary!$C$7,TRUE),NA())</f>
        <v>Osallistujat</v>
      </c>
      <c r="J9" s="439"/>
      <c r="K9" s="148"/>
      <c r="L9" s="154"/>
      <c r="M9" s="178"/>
      <c r="N9" s="822"/>
      <c r="O9" s="1184"/>
      <c r="P9" s="1184"/>
      <c r="Q9" s="1184"/>
      <c r="R9" s="1184"/>
      <c r="S9" s="1184"/>
      <c r="T9" s="823"/>
      <c r="U9" s="178"/>
    </row>
    <row r="10" spans="1:21" s="184" customFormat="1" ht="19.95" customHeight="1" x14ac:dyDescent="0.2">
      <c r="A10" s="178"/>
      <c r="B10" s="308"/>
      <c r="C10" s="264">
        <v>4</v>
      </c>
      <c r="D10" s="265" t="s">
        <v>1</v>
      </c>
      <c r="E10" s="266" t="str">
        <f>IF(VLOOKUP(CONCATENATE($C$3,"-",C10),Languages!$A:$D,1,TRUE)=CONCATENATE($C$3,"-",C10),VLOOKUP(CONCATENATE($C$3,"-",C10),Languages!$A:$D,Summary!$C$7,TRUE),NA())</f>
        <v>Riskeihin reagointi</v>
      </c>
      <c r="F10" s="310"/>
      <c r="G10" s="310"/>
      <c r="H10" s="267" t="str">
        <f ca="1">VLOOKUP(VLOOKUP(CONCATENATE($C$3,"-",$C10),Data!$K:$O,5,FALSE),Parameters!$C$7:$F$10,Summary!$C$7,FALSE)</f>
        <v>Kypsyystaso 0</v>
      </c>
      <c r="I10" s="1194"/>
      <c r="J10" s="1195"/>
      <c r="K10" s="148"/>
      <c r="L10" s="154"/>
      <c r="M10" s="178"/>
      <c r="N10" s="822"/>
      <c r="O10" s="1184"/>
      <c r="P10" s="1184"/>
      <c r="Q10" s="1184"/>
      <c r="R10" s="1184"/>
      <c r="S10" s="1184"/>
      <c r="T10" s="823"/>
      <c r="U10" s="178"/>
    </row>
    <row r="11" spans="1:21" s="184" customFormat="1" ht="19.95" customHeight="1" x14ac:dyDescent="0.2">
      <c r="A11" s="178"/>
      <c r="B11" s="308"/>
      <c r="C11" s="264">
        <v>5</v>
      </c>
      <c r="D11" s="265" t="s">
        <v>1</v>
      </c>
      <c r="E11" s="266" t="str">
        <f>IF(VLOOKUP(CONCATENATE($C$3,"-",C11),Languages!$A:$D,1,TRUE)=CONCATENATE($C$3,"-",C11),VLOOKUP(CONCATENATE($C$3,"-",C11),Languages!$A:$D,Summary!$C$7,TRUE),NA())</f>
        <v>Yleisiä hallintatoimia</v>
      </c>
      <c r="F11" s="310"/>
      <c r="G11" s="310"/>
      <c r="H11" s="267" t="str">
        <f ca="1">VLOOKUP(VLOOKUP(CONCATENATE($C$3,"-",$C11),Data!$K:$O,5,FALSE),Parameters!$C$7:$F$10,Summary!$C$7,FALSE)</f>
        <v>Kypsyystaso 1</v>
      </c>
      <c r="I11" s="1196"/>
      <c r="J11" s="1197"/>
      <c r="K11" s="148"/>
      <c r="L11" s="154"/>
      <c r="M11" s="178"/>
      <c r="N11" s="822"/>
      <c r="O11" s="1184"/>
      <c r="P11" s="1184"/>
      <c r="Q11" s="1184"/>
      <c r="R11" s="1184"/>
      <c r="S11" s="1184"/>
      <c r="T11" s="823"/>
      <c r="U11" s="178"/>
    </row>
    <row r="12" spans="1:21" s="177" customFormat="1" ht="30" customHeight="1" x14ac:dyDescent="0.3">
      <c r="A12" s="166"/>
      <c r="B12" s="269"/>
      <c r="C12" s="170">
        <v>1</v>
      </c>
      <c r="D12" s="270" t="str">
        <f>IF(VLOOKUP(CONCATENATE($C$3,"-",C12),Languages!$A:$D,1,TRUE)=CONCATENATE($C$3,"-",C12),VLOOKUP(CONCATENATE($C$3,"-",C12),Languages!$A:$D,Summary!$C$7,TRUE),NA())</f>
        <v>Kyberriskienhallinnan suunnitelma</v>
      </c>
      <c r="E12" s="170"/>
      <c r="F12" s="271"/>
      <c r="G12" s="271"/>
      <c r="H12" s="271"/>
      <c r="I12" s="271"/>
      <c r="J12" s="271"/>
      <c r="K12" s="271"/>
      <c r="L12" s="154"/>
      <c r="M12" s="166"/>
      <c r="N12" s="822"/>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23"/>
      <c r="U12" s="166"/>
    </row>
    <row r="13" spans="1:21" s="184" customFormat="1" ht="90" customHeight="1" x14ac:dyDescent="0.2">
      <c r="A13" s="178"/>
      <c r="B13" s="179"/>
      <c r="C13" s="1216" t="str">
        <f>IF(VLOOKUP(CONCATENATE($C$3,"-",$C12,"-0"),Languages!$A:$D,1,TRUE)=CONCATENATE($C$3,"-",$C12,"-0"),VLOOKUP(CONCATENATE($C$3,"-",$C12,"-0"),Languages!$A:$D,Summary!$C$7,TRUE),NA())</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D13" s="1216"/>
      <c r="E13" s="1216"/>
      <c r="F13" s="1216"/>
      <c r="G13" s="1216"/>
      <c r="H13" s="1216"/>
      <c r="I13" s="1216"/>
      <c r="J13" s="1216"/>
      <c r="K13" s="1216"/>
      <c r="L13" s="154"/>
      <c r="M13" s="178"/>
      <c r="N13" s="822"/>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23"/>
      <c r="U13" s="178"/>
    </row>
    <row r="14" spans="1:21" s="177" customFormat="1" ht="30" customHeight="1" x14ac:dyDescent="0.3">
      <c r="A14" s="166"/>
      <c r="B14" s="269"/>
      <c r="C14" s="270">
        <v>2</v>
      </c>
      <c r="D14" s="270" t="str">
        <f>IF(VLOOKUP(CONCATENATE($C$3,"-",C14),Languages!$A:$D,1,TRUE)=CONCATENATE($C$3,"-",C14),VLOOKUP(CONCATENATE($C$3,"-",C14),Languages!$A:$D,Summary!$C$7,TRUE),NA())</f>
        <v>Kyberriskien tunnistaminen</v>
      </c>
      <c r="E14" s="170"/>
      <c r="F14" s="292" t="str">
        <f>IFERROR(INT(LEFT($G14,1)),"")</f>
        <v/>
      </c>
      <c r="G14" s="292"/>
      <c r="H14" s="293"/>
      <c r="I14" s="293"/>
      <c r="J14" s="293"/>
      <c r="K14" s="293"/>
      <c r="L14" s="154"/>
      <c r="M14" s="166"/>
      <c r="N14" s="822"/>
      <c r="O14" s="1203"/>
      <c r="P14" s="1185"/>
      <c r="Q14" s="1185"/>
      <c r="R14" s="1185"/>
      <c r="S14" s="1185"/>
      <c r="T14" s="823"/>
      <c r="U14" s="166"/>
    </row>
    <row r="15" spans="1:21" ht="79.95" customHeight="1" x14ac:dyDescent="0.2">
      <c r="A15" s="135"/>
      <c r="B15" s="312"/>
      <c r="C15" s="1216" t="str">
        <f>IF(VLOOKUP(CONCATENATE($C$3,"-",$C14,"-0"),Languages!$A:$D,1,TRUE)=CONCATENATE($C$3,"-",$C14,"-0"),VLOOKUP(CONCATENATE($C$3,"-",$C14,"-0"),Languages!$A:$D,Summary!$C$7,TRUE),NA())</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D15" s="1216"/>
      <c r="E15" s="1216"/>
      <c r="F15" s="1216"/>
      <c r="G15" s="1216"/>
      <c r="H15" s="1216"/>
      <c r="I15" s="1216"/>
      <c r="J15" s="1216"/>
      <c r="K15" s="1216"/>
      <c r="L15" s="154"/>
      <c r="M15" s="135"/>
      <c r="N15" s="822"/>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23"/>
      <c r="U15" s="135"/>
    </row>
    <row r="16" spans="1:21" s="177" customFormat="1" ht="30" customHeight="1" x14ac:dyDescent="0.3">
      <c r="A16" s="174"/>
      <c r="B16" s="269"/>
      <c r="C16" s="270">
        <v>3</v>
      </c>
      <c r="D16" s="270" t="str">
        <f>IF(VLOOKUP(CONCATENATE($C$3,"-",C16),Languages!$A:$D,1,TRUE)=CONCATENATE($C$3,"-",C16),VLOOKUP(CONCATENATE($C$3,"-",C16),Languages!$A:$D,Summary!$C$7,TRUE),NA())</f>
        <v>Riskien analysointi</v>
      </c>
      <c r="E16" s="170"/>
      <c r="F16" s="292" t="str">
        <f>IFERROR(INT(LEFT($G16,1)),"")</f>
        <v/>
      </c>
      <c r="G16" s="292"/>
      <c r="H16" s="293"/>
      <c r="I16" s="293"/>
      <c r="J16" s="293"/>
      <c r="K16" s="293"/>
      <c r="L16" s="154"/>
      <c r="M16" s="174"/>
      <c r="N16" s="822"/>
      <c r="O16" s="1203"/>
      <c r="P16" s="1185"/>
      <c r="Q16" s="1185"/>
      <c r="R16" s="1185"/>
      <c r="S16" s="1185"/>
      <c r="T16" s="823"/>
      <c r="U16" s="174"/>
    </row>
    <row r="17" spans="1:21" ht="49.95" customHeight="1" x14ac:dyDescent="0.2">
      <c r="A17" s="236"/>
      <c r="B17" s="313"/>
      <c r="C17" s="1216" t="str">
        <f>IF(VLOOKUP(CONCATENATE($C$3,"-",$C16,"-0"),Languages!$A:$D,1,TRUE)=CONCATENATE($C$3,"-",$C16,"-0"),VLOOKUP(CONCATENATE($C$3,"-",$C16,"-0"),Languages!$A:$D,Summary!$C$7,TRUE),NA())</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D17" s="1216"/>
      <c r="E17" s="1216"/>
      <c r="F17" s="1216"/>
      <c r="G17" s="1216"/>
      <c r="H17" s="1216"/>
      <c r="I17" s="1216"/>
      <c r="J17" s="1216"/>
      <c r="K17" s="1216"/>
      <c r="L17" s="154"/>
      <c r="M17" s="236"/>
      <c r="N17" s="822"/>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23"/>
      <c r="U17" s="236"/>
    </row>
    <row r="18" spans="1:21" s="296" customFormat="1" ht="34.950000000000003" customHeight="1" x14ac:dyDescent="0.3">
      <c r="A18" s="305"/>
      <c r="B18" s="269"/>
      <c r="C18" s="270">
        <v>4</v>
      </c>
      <c r="D18" s="270" t="str">
        <f>IF(VLOOKUP(CONCATENATE($C$3,"-",C18),Languages!$A:$D,1,TRUE)=CONCATENATE($C$3,"-",C18),VLOOKUP(CONCATENATE($C$3,"-",C18),Languages!$A:$D,Summary!$C$7,TRUE),NA())</f>
        <v>Riskeihin reagointi</v>
      </c>
      <c r="E18" s="170"/>
      <c r="F18" s="292" t="str">
        <f>IFERROR(INT(LEFT($G18,1)),"")</f>
        <v/>
      </c>
      <c r="G18" s="292"/>
      <c r="H18" s="293"/>
      <c r="I18" s="293"/>
      <c r="J18" s="293"/>
      <c r="K18" s="293"/>
      <c r="L18" s="154"/>
      <c r="M18" s="305"/>
      <c r="N18" s="822"/>
      <c r="O18" s="1203"/>
      <c r="P18" s="1185"/>
      <c r="Q18" s="1185"/>
      <c r="R18" s="1185"/>
      <c r="S18" s="1185"/>
      <c r="T18" s="823"/>
      <c r="U18" s="305"/>
    </row>
    <row r="19" spans="1:21" s="296" customFormat="1" ht="45" customHeight="1" x14ac:dyDescent="0.2">
      <c r="A19" s="305"/>
      <c r="B19" s="313"/>
      <c r="C19" s="1216" t="str">
        <f>IF(VLOOKUP(CONCATENATE($C$3,"-",$C18,"-0"),Languages!$A:$D,1,TRUE)=CONCATENATE($C$3,"-",$C18,"-0"),VLOOKUP(CONCATENATE($C$3,"-",$C18,"-0"),Languages!$A:$D,Summary!$C$7,TRUE),NA())</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D19" s="1216"/>
      <c r="E19" s="1216"/>
      <c r="F19" s="1216"/>
      <c r="G19" s="1216"/>
      <c r="H19" s="1216"/>
      <c r="I19" s="1216"/>
      <c r="J19" s="1216"/>
      <c r="K19" s="1216"/>
      <c r="L19" s="154"/>
      <c r="M19" s="305"/>
      <c r="N19" s="822"/>
      <c r="O19" s="1202" t="str">
        <f>IF(VLOOKUP(CONCATENATE($C$3,"-",$C18),Import!$C$11:$H$485,2,FALSE)=0,"",VLOOKUP(CONCATENATE($C$3,"-",$C18),Import!$C$11:$H$485,2,FALSE))</f>
        <v/>
      </c>
      <c r="P19" s="1184" t="str">
        <f>IF(VLOOKUP(CONCATENATE($C$3,"-",$C18),Import!$C$11:$H$485,3,FALSE)=0,"",VLOOKUP(CONCATENATE($C$3,"-",$C18),Import!$C$11:$H$485,3,FALSE))</f>
        <v/>
      </c>
      <c r="Q19" s="1184" t="str">
        <f>IF(VLOOKUP(CONCATENATE($C$3,"-",$C18),Import!$C$11:$H$485,4,FALSE)=0,"",VLOOKUP(CONCATENATE($C$3,"-",$C18),Import!$C$11:$H$485,4,FALSE))</f>
        <v/>
      </c>
      <c r="R19" s="1184" t="str">
        <f>IF(VLOOKUP(CONCATENATE($C$3,"-",$C18),Import!$C$11:$H$485,5,FALSE)=0,"",VLOOKUP(CONCATENATE($C$3,"-",$C18),Import!$C$11:$H$485,5,FALSE))</f>
        <v/>
      </c>
      <c r="S19" s="1184" t="str">
        <f>IF(VLOOKUP(CONCATENATE($C$3,"-",$C18),Import!$C$11:$H$485,6,FALSE)=0,"",VLOOKUP(CONCATENATE($C$3,"-",$C18),Import!$C$11:$H$485,6,FALSE))</f>
        <v/>
      </c>
      <c r="T19" s="823"/>
      <c r="U19" s="305"/>
    </row>
    <row r="20" spans="1:21" s="296" customFormat="1" ht="34.950000000000003" customHeight="1" x14ac:dyDescent="0.3">
      <c r="A20" s="305"/>
      <c r="B20" s="269"/>
      <c r="C20" s="270">
        <v>5</v>
      </c>
      <c r="D20" s="270" t="str">
        <f>IF(VLOOKUP(CONCATENATE($C$3,"-",C20),Languages!$A:$D,1,TRUE)=CONCATENATE($C$3,"-",C20),VLOOKUP(CONCATENATE($C$3,"-",C20),Languages!$A:$D,Summary!$C$7,TRUE),NA())</f>
        <v>Yleisiä hallintatoimia</v>
      </c>
      <c r="E20" s="170"/>
      <c r="F20" s="292" t="str">
        <f>IFERROR(INT(LEFT($G20,1)),"")</f>
        <v/>
      </c>
      <c r="G20" s="292"/>
      <c r="H20" s="293"/>
      <c r="I20" s="293"/>
      <c r="J20" s="293"/>
      <c r="K20" s="293"/>
      <c r="L20" s="154"/>
      <c r="M20" s="305"/>
      <c r="N20" s="822"/>
      <c r="O20" s="1203"/>
      <c r="P20" s="1185"/>
      <c r="Q20" s="1185"/>
      <c r="R20" s="1185"/>
      <c r="S20" s="1185"/>
      <c r="T20" s="823"/>
      <c r="U20" s="305"/>
    </row>
    <row r="21" spans="1:21" s="296" customFormat="1" ht="54" customHeight="1" x14ac:dyDescent="0.2">
      <c r="A21" s="305"/>
      <c r="B21" s="313"/>
      <c r="C21" s="1216"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16"/>
      <c r="E21" s="1216"/>
      <c r="F21" s="1216"/>
      <c r="G21" s="1216"/>
      <c r="H21" s="1216"/>
      <c r="I21" s="1216"/>
      <c r="J21" s="1216"/>
      <c r="K21" s="1216"/>
      <c r="L21" s="154"/>
      <c r="M21" s="305"/>
      <c r="N21" s="822"/>
      <c r="O21" s="1202" t="str">
        <f>IF(VLOOKUP(CONCATENATE($C$3,"-",$C20),Import!$C$11:$H$485,2,FALSE)=0,"",VLOOKUP(CONCATENATE($C$3,"-",$C20),Import!$C$11:$H$485,2,FALSE))</f>
        <v/>
      </c>
      <c r="P21" s="1184" t="str">
        <f>IF(VLOOKUP(CONCATENATE($C$3,"-",$C20),Import!$C$11:$H$485,3,FALSE)=0,"",VLOOKUP(CONCATENATE($C$3,"-",$C20),Import!$C$11:$H$485,3,FALSE))</f>
        <v/>
      </c>
      <c r="Q21" s="1184" t="str">
        <f>IF(VLOOKUP(CONCATENATE($C$3,"-",$C20),Import!$C$11:$H$485,4,FALSE)=0,"",VLOOKUP(CONCATENATE($C$3,"-",$C20),Import!$C$11:$H$485,4,FALSE))</f>
        <v/>
      </c>
      <c r="R21" s="1184" t="str">
        <f>IF(VLOOKUP(CONCATENATE($C$3,"-",$C20),Import!$C$11:$H$485,5,FALSE)=0,"",VLOOKUP(CONCATENATE($C$3,"-",$C20),Import!$C$11:$H$485,5,FALSE))</f>
        <v/>
      </c>
      <c r="S21" s="1184" t="str">
        <f>IF(VLOOKUP(CONCATENATE($C$3,"-",$C20),Import!$C$11:$H$485,6,FALSE)=0,"",VLOOKUP(CONCATENATE($C$3,"-",$C20),Import!$C$11:$H$485,6,FALSE))</f>
        <v/>
      </c>
      <c r="T21" s="823"/>
      <c r="U21" s="305"/>
    </row>
    <row r="22" spans="1:21" s="296" customFormat="1" ht="54" customHeight="1" x14ac:dyDescent="0.2">
      <c r="A22" s="305"/>
      <c r="B22" s="313"/>
      <c r="C22" s="1116"/>
      <c r="D22" s="1116"/>
      <c r="E22" s="1116"/>
      <c r="F22" s="1116"/>
      <c r="G22" s="1116"/>
      <c r="H22" s="1116"/>
      <c r="I22" s="1116"/>
      <c r="J22" s="1116"/>
      <c r="K22" s="1116"/>
      <c r="L22" s="154"/>
      <c r="M22" s="305"/>
      <c r="N22" s="1124"/>
      <c r="O22" s="1203"/>
      <c r="P22" s="1185"/>
      <c r="Q22" s="1185"/>
      <c r="R22" s="1185"/>
      <c r="S22" s="1185"/>
      <c r="T22" s="1124"/>
      <c r="U22" s="305"/>
    </row>
    <row r="23" spans="1:21" s="296" customFormat="1" ht="54" customHeight="1" x14ac:dyDescent="0.2">
      <c r="A23" s="305"/>
      <c r="B23" s="1127"/>
      <c r="C23" s="1122"/>
      <c r="D23" s="1122"/>
      <c r="E23" s="1122"/>
      <c r="F23" s="1122"/>
      <c r="G23" s="1122"/>
      <c r="H23" s="1122"/>
      <c r="I23" s="1122"/>
      <c r="J23" s="1122"/>
      <c r="K23" s="1122"/>
      <c r="L23" s="1123"/>
      <c r="M23" s="305"/>
      <c r="N23" s="824"/>
      <c r="O23" s="1114"/>
      <c r="P23" s="1114"/>
      <c r="Q23" s="1114"/>
      <c r="R23" s="1114"/>
      <c r="S23" s="1114"/>
      <c r="T23" s="825"/>
      <c r="U23" s="305"/>
    </row>
    <row r="24" spans="1:21" s="278" customFormat="1" ht="18" customHeight="1" x14ac:dyDescent="0.25">
      <c r="A24" s="305"/>
      <c r="B24" s="655"/>
      <c r="C24" s="655"/>
      <c r="D24" s="655"/>
      <c r="E24" s="655"/>
      <c r="F24" s="655"/>
      <c r="G24" s="655"/>
      <c r="H24" s="655"/>
      <c r="I24" s="655"/>
      <c r="J24" s="655"/>
      <c r="K24" s="655"/>
      <c r="L24" s="656"/>
      <c r="M24" s="135"/>
      <c r="N24" s="135"/>
      <c r="O24" s="251"/>
      <c r="P24" s="250"/>
      <c r="Q24" s="771"/>
      <c r="R24" s="250"/>
      <c r="S24" s="250"/>
      <c r="T24" s="135"/>
      <c r="U24" s="135"/>
    </row>
    <row r="25" spans="1:21" s="278" customFormat="1" ht="19.95" customHeight="1" x14ac:dyDescent="0.2">
      <c r="A25" s="305"/>
      <c r="B25" s="649"/>
      <c r="C25" s="647"/>
      <c r="D25" s="647"/>
      <c r="E25" s="647"/>
      <c r="F25" s="647"/>
      <c r="G25" s="647"/>
      <c r="H25" s="647"/>
      <c r="I25" s="647"/>
      <c r="J25" s="647"/>
      <c r="K25" s="647"/>
      <c r="L25" s="648"/>
      <c r="M25" s="252"/>
      <c r="N25" s="464" t="str">
        <f>IF(VLOOKUP("KM116",Languages!$A:$D,1,TRUE)="KM116",VLOOKUP("KM116",Languages!$A:$D,Summary!$C$7,TRUE),NA())</f>
        <v>EDELLINEN ARVIOINTI</v>
      </c>
      <c r="O25" s="430"/>
      <c r="P25" s="255"/>
      <c r="Q25" s="772" t="str">
        <f>IF(VLOOKUP("KM110",Languages!$A:$D,1,TRUE)="KM110",VLOOKUP("KM110",Languages!$A:$D,Summary!$C$7,TRUE),NA())</f>
        <v>Päivämäärä</v>
      </c>
      <c r="R25" s="255"/>
      <c r="S25" s="255"/>
      <c r="T25" s="147"/>
      <c r="U25" s="252"/>
    </row>
    <row r="26" spans="1:21" s="177" customFormat="1" ht="19.95" customHeight="1" x14ac:dyDescent="0.3">
      <c r="A26" s="166"/>
      <c r="B26" s="269"/>
      <c r="C26" s="170">
        <v>1</v>
      </c>
      <c r="D26" s="270" t="str">
        <f>IF(VLOOKUP(CONCATENATE($C$3,"-",C26),Languages!$A:$D,1,TRUE)=CONCATENATE($C$3,"-",C26),VLOOKUP(CONCATENATE($C$3,"-",C26),Languages!$A:$D,Summary!$C$7,TRUE),NA())</f>
        <v>Kyberriskienhallinnan suunnitelma</v>
      </c>
      <c r="E26" s="170"/>
      <c r="F26" s="271"/>
      <c r="G26" s="271"/>
      <c r="H26" s="271"/>
      <c r="I26" s="271"/>
      <c r="J26" s="271"/>
      <c r="K26" s="271"/>
      <c r="L26" s="154"/>
      <c r="M26" s="305"/>
      <c r="N26" s="306"/>
      <c r="O26" s="431"/>
      <c r="P26" s="426"/>
      <c r="Q26" s="697"/>
      <c r="R26" s="770"/>
      <c r="S26" s="770"/>
      <c r="T26" s="277"/>
      <c r="U26" s="305"/>
    </row>
    <row r="27" spans="1:21" s="285" customFormat="1" ht="19.95" customHeight="1" x14ac:dyDescent="0.2">
      <c r="A27" s="304"/>
      <c r="B27" s="279"/>
      <c r="C27" s="280" t="str">
        <f>IF(VLOOKUP("GEN-LEVEL",Languages!$A:$D,1,TRUE)="GEN-LEVEL",VLOOKUP("GEN-LEVEL",Languages!$A:$D,Summary!$C$7,TRUE),NA())</f>
        <v>Taso</v>
      </c>
      <c r="D27" s="280"/>
      <c r="E27" s="281" t="str">
        <f>IF(VLOOKUP("GEN-PRACTICE",Languages!$A:$D,1,TRUE)="GEN-PRACTICE",VLOOKUP("GEN-PRACTICE",Languages!$A:$D,Summary!$C$7,TRUE),NA())</f>
        <v>Käytäntö</v>
      </c>
      <c r="F27" s="282"/>
      <c r="G27" s="904" t="str">
        <f>IF(VLOOKUP("GEN-ANSWER",Languages!$A:$D,1,TRUE)="GEN-ANSWER",VLOOKUP("GEN-ANSWER",Languages!$A:$D,Summary!$C$7,TRUE),NA())</f>
        <v>Vastaus</v>
      </c>
      <c r="H27" s="905" t="str">
        <f>IF(VLOOKUP("KM112",Languages!$A:$D,1,TRUE)="KM112",VLOOKUP("KM112",Languages!$A:$D,Summary!$C$7,TRUE),NA())</f>
        <v>Kommentit</v>
      </c>
      <c r="I27" s="905" t="str">
        <f>IF(VLOOKUP("KM113",Languages!$A:$D,1,TRUE)="KM113",VLOOKUP("KM113",Languages!$A:$D,Summary!$C$7,TRUE),NA())</f>
        <v>Sisäinen viittaus</v>
      </c>
      <c r="J27" s="905" t="str">
        <f>IF(VLOOKUP("KM114",Languages!$A:$D,1,TRUE)="KM114",VLOOKUP("KM114",Languages!$A:$D,Summary!$C$7,TRUE),NA())</f>
        <v>Ulkoinen viittaus</v>
      </c>
      <c r="K27" s="905" t="str">
        <f>IF(VLOOKUP("KM115",Languages!$A:$D,1,TRUE)="KM115",VLOOKUP("KM115",Languages!$A:$D,Summary!$C$7,TRUE),NA())</f>
        <v>Kehityskohde</v>
      </c>
      <c r="L27" s="283"/>
      <c r="M27" s="284"/>
      <c r="N27" s="279"/>
      <c r="O27" s="463" t="str">
        <f>IF(VLOOKUP("GEN-ANSWER",Languages!$A:$D,1,TRUE)="GEN-ANSWER",VLOOKUP("GEN-ANSWER",Languages!$A:$D,Summary!$C$7,TRUE),NA())</f>
        <v>Vastaus</v>
      </c>
      <c r="P27" s="463" t="str">
        <f>IF(VLOOKUP("KM112",Languages!$A:$D,1,TRUE)="KM112",VLOOKUP("KM112",Languages!$A:$D,Summary!$C$7,TRUE),NA())</f>
        <v>Kommentit</v>
      </c>
      <c r="Q27" s="463" t="str">
        <f>IF(VLOOKUP("KM113",Languages!$A:$D,1,TRUE)="KM113",VLOOKUP("KM113",Languages!$A:$D,Summary!$C$7,TRUE),NA())</f>
        <v>Sisäinen viittaus</v>
      </c>
      <c r="R27" s="463" t="str">
        <f>IF(VLOOKUP("KM114",Languages!$A:$D,1,TRUE)="KM114",VLOOKUP("KM114",Languages!$A:$D,Summary!$C$7,TRUE),NA())</f>
        <v>Ulkoinen viittaus</v>
      </c>
      <c r="S27" s="463" t="str">
        <f>IF(VLOOKUP("KM115",Languages!$A:$D,1,TRUE)="KM115",VLOOKUP("KM115",Languages!$A:$D,Summary!$C$7,TRUE),NA())</f>
        <v>Kehityskohde</v>
      </c>
      <c r="T27" s="283"/>
      <c r="U27" s="284"/>
    </row>
    <row r="28" spans="1:21" s="289" customFormat="1" ht="61.2" customHeight="1" x14ac:dyDescent="0.2">
      <c r="A28" s="275"/>
      <c r="B28" s="1190"/>
      <c r="C28" s="521">
        <v>1</v>
      </c>
      <c r="D28" s="390" t="s">
        <v>5</v>
      </c>
      <c r="E28" s="466" t="str">
        <f>IF(VLOOKUP(CONCATENATE($C$3,"-",$D28),Languages!$A:$D,1,TRUE)=CONCATENATE($C$3,"-",$D28),VLOOKUP(CONCATENATE($C$3,"-",$D28),Languages!$A:$D,Summary!$C$7,TRUE),NA())</f>
        <v>Organisaation kyberriskienhallintaa ohjaa suunnitelma (esimerkiksi strategia tai vastaava johtotason politiikka). Tasolla 1 sen kehittämisen ja ylläpidon ei tarvitse olla systemaattista ja säännöllistä.</v>
      </c>
      <c r="F28" s="391">
        <f t="shared" ref="F28:F35" si="0">IFERROR(INT(LEFT($G28,1)),0)</f>
        <v>0</v>
      </c>
      <c r="G28" s="456" t="s">
        <v>2542</v>
      </c>
      <c r="H28" s="486"/>
      <c r="I28" s="486"/>
      <c r="J28" s="486"/>
      <c r="K28" s="487"/>
      <c r="L28" s="154"/>
      <c r="M28" s="275"/>
      <c r="N28" s="149"/>
      <c r="O28" s="886" t="str">
        <f>VLOOKUP(VLOOKUP($C$3&amp;"-"&amp;$D28,Import!$C:$D,2,FALSE),Parameters!$C$18:$F$22,Summary!$C$7,FALSE)</f>
        <v xml:space="preserve">0 - Vastaus puuttuu </v>
      </c>
      <c r="P28" s="911" t="str">
        <f>IF(VLOOKUP($C$3&amp;"-"&amp;$D28,Import!$C:$H,3,FALSE)=0,"",VLOOKUP($C$3&amp;"-"&amp;$D28,Import!$C:$H,3,FALSE))</f>
        <v/>
      </c>
      <c r="Q28" s="911" t="str">
        <f>IF(VLOOKUP($C$3&amp;"-"&amp;$D28,Import!$C:$H,4,FALSE)=0,"",VLOOKUP($C$3&amp;"-"&amp;$D28,Import!$C:$H,4,FALSE))</f>
        <v/>
      </c>
      <c r="R28" s="911" t="str">
        <f>IF(VLOOKUP($C$3&amp;"-"&amp;$D28,Import!$C:$H,5,FALSE)=0,"",VLOOKUP($C$3&amp;"-"&amp;$D28,Import!$C:$H,5,FALSE))</f>
        <v/>
      </c>
      <c r="S28" s="912" t="str">
        <f>IF(VLOOKUP($C$3&amp;"-"&amp;$D28,Import!$C:$H,6,FALSE)=0,"",VLOOKUP($C$3&amp;"-"&amp;$D28,Import!$C:$H,6,FALSE))</f>
        <v/>
      </c>
      <c r="T28" s="154"/>
      <c r="U28" s="275"/>
    </row>
    <row r="29" spans="1:21" s="289" customFormat="1" ht="72.599999999999994" customHeight="1" x14ac:dyDescent="0.2">
      <c r="A29" s="275"/>
      <c r="B29" s="1190"/>
      <c r="C29" s="1217">
        <v>2</v>
      </c>
      <c r="D29" s="387" t="s">
        <v>7</v>
      </c>
      <c r="E29" s="467" t="str">
        <f>IF(VLOOKUP(CONCATENATE($C$3,"-",$D29),Languages!$A:$D,1,TRUE)=CONCATENATE($C$3,"-",$D29),VLOOKUP(CONCATENATE($C$3,"-",$D29),Languages!$A:$D,Summary!$C$7,TRUE),NA())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29" s="386">
        <f t="shared" si="0"/>
        <v>0</v>
      </c>
      <c r="G29" s="445" t="s">
        <v>2542</v>
      </c>
      <c r="H29" s="446"/>
      <c r="I29" s="446"/>
      <c r="J29" s="446"/>
      <c r="K29" s="447"/>
      <c r="L29" s="154"/>
      <c r="M29" s="275"/>
      <c r="N29" s="149"/>
      <c r="O29" s="889" t="str">
        <f>VLOOKUP(VLOOKUP($C$3&amp;"-"&amp;$D29,Import!$C:$D,2,FALSE),Parameters!$C$18:$F$22,Summary!$C$7,FALSE)</f>
        <v xml:space="preserve">0 - Vastaus puuttuu </v>
      </c>
      <c r="P29" s="931" t="str">
        <f>IF(VLOOKUP($C$3&amp;"-"&amp;$D29,Import!$C:$H,3,FALSE)=0,"",VLOOKUP($C$3&amp;"-"&amp;$D29,Import!$C:$H,3,FALSE))</f>
        <v/>
      </c>
      <c r="Q29" s="931" t="str">
        <f>IF(VLOOKUP($C$3&amp;"-"&amp;$D29,Import!$C:$H,4,FALSE)=0,"",VLOOKUP($C$3&amp;"-"&amp;$D29,Import!$C:$H,4,FALSE))</f>
        <v/>
      </c>
      <c r="R29" s="931" t="str">
        <f>IF(VLOOKUP($C$3&amp;"-"&amp;$D29,Import!$C:$H,5,FALSE)=0,"",VLOOKUP($C$3&amp;"-"&amp;$D29,Import!$C:$H,5,FALSE))</f>
        <v/>
      </c>
      <c r="S29" s="932" t="str">
        <f>IF(VLOOKUP($C$3&amp;"-"&amp;$D29,Import!$C:$H,6,FALSE)=0,"",VLOOKUP($C$3&amp;"-"&amp;$D29,Import!$C:$H,6,FALSE))</f>
        <v/>
      </c>
      <c r="T29" s="154"/>
      <c r="U29" s="275"/>
    </row>
    <row r="30" spans="1:21" s="289" customFormat="1" ht="47.4" customHeight="1" x14ac:dyDescent="0.2">
      <c r="A30" s="275"/>
      <c r="B30" s="1190"/>
      <c r="C30" s="1218"/>
      <c r="D30" s="286" t="s">
        <v>8</v>
      </c>
      <c r="E30" s="468" t="str">
        <f>IF(VLOOKUP(CONCATENATE($C$3,"-",$D30),Languages!$A:$D,1,TRUE)=CONCATENATE($C$3,"-",$D30),VLOOKUP(CONCATENATE($C$3,"-",$D30),Languages!$A:$D,Summary!$C$7,TRUE),NA())</f>
        <v>Kyberriskienhallintaohjelma on määritelty ja sitä ylläpidetään. Se määrittää kyberriskienhallintatoimet, jotka perustuvat organisaation kyberriskienhallintastrategiaan / toimintasuunnitelmaan.</v>
      </c>
      <c r="F30" s="287">
        <f t="shared" si="0"/>
        <v>0</v>
      </c>
      <c r="G30" s="307" t="s">
        <v>2542</v>
      </c>
      <c r="H30" s="440"/>
      <c r="I30" s="440"/>
      <c r="J30" s="440"/>
      <c r="K30" s="448"/>
      <c r="L30" s="154"/>
      <c r="M30" s="275"/>
      <c r="N30" s="149"/>
      <c r="O30" s="892" t="str">
        <f>VLOOKUP(VLOOKUP($C$3&amp;"-"&amp;$D30,Import!$C:$D,2,FALSE),Parameters!$C$18:$F$22,Summary!$C$7,FALSE)</f>
        <v xml:space="preserve">0 - Vastaus puuttuu </v>
      </c>
      <c r="P30" s="914" t="str">
        <f>IF(VLOOKUP($C$3&amp;"-"&amp;$D30,Import!$C:$H,3,FALSE)=0,"",VLOOKUP($C$3&amp;"-"&amp;$D30,Import!$C:$H,3,FALSE))</f>
        <v/>
      </c>
      <c r="Q30" s="914" t="str">
        <f>IF(VLOOKUP($C$3&amp;"-"&amp;$D30,Import!$C:$H,4,FALSE)=0,"",VLOOKUP($C$3&amp;"-"&amp;$D30,Import!$C:$H,4,FALSE))</f>
        <v/>
      </c>
      <c r="R30" s="914" t="str">
        <f>IF(VLOOKUP($C$3&amp;"-"&amp;$D30,Import!$C:$H,5,FALSE)=0,"",VLOOKUP($C$3&amp;"-"&amp;$D30,Import!$C:$H,5,FALSE))</f>
        <v/>
      </c>
      <c r="S30" s="915" t="str">
        <f>IF(VLOOKUP($C$3&amp;"-"&amp;$D30,Import!$C:$H,6,FALSE)=0,"",VLOOKUP($C$3&amp;"-"&amp;$D30,Import!$C:$H,6,FALSE))</f>
        <v/>
      </c>
      <c r="T30" s="154"/>
      <c r="U30" s="275"/>
    </row>
    <row r="31" spans="1:21" s="289" customFormat="1" ht="61.8" customHeight="1" x14ac:dyDescent="0.2">
      <c r="A31" s="275"/>
      <c r="B31" s="1190"/>
      <c r="C31" s="1218"/>
      <c r="D31" s="407" t="s">
        <v>9</v>
      </c>
      <c r="E31" s="472" t="str">
        <f>IF(VLOOKUP(CONCATENATE($C$3,"-",$D31),Languages!$A:$D,1,TRUE)=CONCATENATE($C$3,"-",$D31),VLOOKUP(CONCATENATE($C$3,"-",$D31),Languages!$A:$D,Summary!$C$7,TRUE),NA())</f>
        <v>Kyberriskienhallinnan toimenpiteistä jaetaan tietoa soveltuville sidosryhmille.</v>
      </c>
      <c r="F31" s="393">
        <f t="shared" si="0"/>
        <v>0</v>
      </c>
      <c r="G31" s="449" t="s">
        <v>2542</v>
      </c>
      <c r="H31" s="441"/>
      <c r="I31" s="441"/>
      <c r="J31" s="441"/>
      <c r="K31" s="450"/>
      <c r="L31" s="154"/>
      <c r="M31" s="275"/>
      <c r="N31" s="149"/>
      <c r="O31" s="897" t="str">
        <f>VLOOKUP(VLOOKUP($C$3&amp;"-"&amp;$D31,Import!$C:$D,2,FALSE),Parameters!$C$18:$F$22,Summary!$C$7,FALSE)</f>
        <v xml:space="preserve">0 - Vastaus puuttuu </v>
      </c>
      <c r="P31" s="933" t="str">
        <f>IF(VLOOKUP($C$3&amp;"-"&amp;$D31,Import!$C:$H,3,FALSE)=0,"",VLOOKUP($C$3&amp;"-"&amp;$D31,Import!$C:$H,3,FALSE))</f>
        <v/>
      </c>
      <c r="Q31" s="933" t="str">
        <f>IF(VLOOKUP($C$3&amp;"-"&amp;$D31,Import!$C:$H,4,FALSE)=0,"",VLOOKUP($C$3&amp;"-"&amp;$D31,Import!$C:$H,4,FALSE))</f>
        <v/>
      </c>
      <c r="R31" s="933" t="str">
        <f>IF(VLOOKUP($C$3&amp;"-"&amp;$D31,Import!$C:$H,5,FALSE)=0,"",VLOOKUP($C$3&amp;"-"&amp;$D31,Import!$C:$H,5,FALSE))</f>
        <v/>
      </c>
      <c r="S31" s="934" t="str">
        <f>IF(VLOOKUP($C$3&amp;"-"&amp;$D31,Import!$C:$H,6,FALSE)=0,"",VLOOKUP($C$3&amp;"-"&amp;$D31,Import!$C:$H,6,FALSE))</f>
        <v/>
      </c>
      <c r="T31" s="154"/>
      <c r="U31" s="275"/>
    </row>
    <row r="32" spans="1:21" s="289" customFormat="1" ht="73.8" customHeight="1" x14ac:dyDescent="0.2">
      <c r="A32" s="275"/>
      <c r="B32" s="1190"/>
      <c r="C32" s="1218"/>
      <c r="D32" s="389" t="s">
        <v>10</v>
      </c>
      <c r="E32" s="471" t="str">
        <f>IF(VLOOKUP(CONCATENATE($C$3,"-",$D32),Languages!$A:$D,1,TRUE)=CONCATENATE($C$3,"-",$D32),VLOOKUP(CONCATENATE($C$3,"-",$D32),Languages!$A:$D,Summary!$C$7,TRUE),NA())</f>
        <v>Kyberriskienhallintaa varten on määritetty hallintamalli (ref. "governance"), jota ylläpidetään säännöllisesti. Hallintamalliin kuuluvat mm. riskienhallinnan vastuut, velvollisuudet ja päätöksentekorakenteet.</v>
      </c>
      <c r="F32" s="386">
        <f t="shared" si="0"/>
        <v>0</v>
      </c>
      <c r="G32" s="445" t="s">
        <v>2542</v>
      </c>
      <c r="H32" s="442"/>
      <c r="I32" s="442"/>
      <c r="J32" s="442"/>
      <c r="K32" s="451"/>
      <c r="L32" s="154"/>
      <c r="M32" s="275"/>
      <c r="N32" s="149"/>
      <c r="O32" s="889" t="str">
        <f>VLOOKUP(VLOOKUP($C$3&amp;"-"&amp;$D32,Import!$C:$D,2,FALSE),Parameters!$C$18:$F$22,Summary!$C$7,FALSE)</f>
        <v xml:space="preserve">0 - Vastaus puuttuu </v>
      </c>
      <c r="P32" s="921" t="str">
        <f>IF(VLOOKUP($C$3&amp;"-"&amp;$D32,Import!$C:$H,3,FALSE)=0,"",VLOOKUP($C$3&amp;"-"&amp;$D32,Import!$C:$H,3,FALSE))</f>
        <v/>
      </c>
      <c r="Q32" s="921" t="str">
        <f>IF(VLOOKUP($C$3&amp;"-"&amp;$D32,Import!$C:$H,4,FALSE)=0,"",VLOOKUP($C$3&amp;"-"&amp;$D32,Import!$C:$H,4,FALSE))</f>
        <v/>
      </c>
      <c r="R32" s="921" t="str">
        <f>IF(VLOOKUP($C$3&amp;"-"&amp;$D32,Import!$C:$H,5,FALSE)=0,"",VLOOKUP($C$3&amp;"-"&amp;$D32,Import!$C:$H,5,FALSE))</f>
        <v/>
      </c>
      <c r="S32" s="922" t="str">
        <f>IF(VLOOKUP($C$3&amp;"-"&amp;$D32,Import!$C:$H,6,FALSE)=0,"",VLOOKUP($C$3&amp;"-"&amp;$D32,Import!$C:$H,6,FALSE))</f>
        <v/>
      </c>
      <c r="T32" s="154"/>
      <c r="U32" s="275"/>
    </row>
    <row r="33" spans="1:21" s="289" customFormat="1" ht="73.8" customHeight="1" x14ac:dyDescent="0.2">
      <c r="A33" s="275"/>
      <c r="B33" s="1190"/>
      <c r="C33" s="1219"/>
      <c r="D33" s="1059" t="s">
        <v>11</v>
      </c>
      <c r="E33" s="472" t="str">
        <f>IF(VLOOKUP(CONCATENATE($C$3,"-",$D33),Languages!$A:$D,1,TRUE)=CONCATENATE($C$3,"-",$D33),VLOOKUP(CONCATENATE($C$3,"-",$D33),Languages!$A:$D,Summary!$C$7,TRUE),NA())</f>
        <v xml:space="preserve">Organisaation johto tukee aktiivisesti ja näkyvästi organisaation kyberriskienhallintaohjelmaa . </v>
      </c>
      <c r="F33" s="391">
        <f t="shared" si="0"/>
        <v>0</v>
      </c>
      <c r="G33" s="492" t="s">
        <v>2542</v>
      </c>
      <c r="H33" s="1053"/>
      <c r="I33" s="1053"/>
      <c r="J33" s="1053"/>
      <c r="K33" s="1054"/>
      <c r="L33" s="154"/>
      <c r="M33" s="275"/>
      <c r="N33" s="149"/>
      <c r="O33" s="886" t="str">
        <f>VLOOKUP(VLOOKUP($C$3&amp;"-"&amp;$D33,Import!$C:$D,2,FALSE),Parameters!$C$18:$F$22,Summary!$C$7,FALSE)</f>
        <v xml:space="preserve">0 - Vastaus puuttuu </v>
      </c>
      <c r="P33" s="921" t="str">
        <f>IF(VLOOKUP($C$3&amp;"-"&amp;$D33,Import!$C:$H,3,FALSE)=0,"",VLOOKUP($C$3&amp;"-"&amp;$D33,Import!$C:$H,3,FALSE))</f>
        <v/>
      </c>
      <c r="Q33" s="921" t="str">
        <f>IF(VLOOKUP($C$3&amp;"-"&amp;$D33,Import!$C:$H,4,FALSE)=0,"",VLOOKUP($C$3&amp;"-"&amp;$D33,Import!$C:$H,4,FALSE))</f>
        <v/>
      </c>
      <c r="R33" s="921" t="str">
        <f>IF(VLOOKUP($C$3&amp;"-"&amp;$D33,Import!$C:$H,5,FALSE)=0,"",VLOOKUP($C$3&amp;"-"&amp;$D33,Import!$C:$H,5,FALSE))</f>
        <v/>
      </c>
      <c r="S33" s="922" t="str">
        <f>IF(VLOOKUP($C$3&amp;"-"&amp;$D33,Import!$C:$H,6,FALSE)=0,"",VLOOKUP($C$3&amp;"-"&amp;$D33,Import!$C:$H,6,FALSE))</f>
        <v/>
      </c>
      <c r="T33" s="154"/>
      <c r="U33" s="275"/>
    </row>
    <row r="34" spans="1:21" s="289" customFormat="1" ht="73.8" customHeight="1" x14ac:dyDescent="0.2">
      <c r="A34" s="275"/>
      <c r="B34" s="1190"/>
      <c r="C34" s="1220">
        <v>3</v>
      </c>
      <c r="D34" s="1027" t="s">
        <v>12</v>
      </c>
      <c r="E34" s="1058" t="str">
        <f>IF(VLOOKUP(CONCATENATE($C$3,"-",$D34),Languages!$A:$D,1,TRUE)=CONCATENATE($C$3,"-",$D34),VLOOKUP(CONCATENATE($C$3,"-",$D34),Languages!$A:$D,Summary!$C$7,TRUE),NA())</f>
        <v>Organisaation kyberriskienhallinnan ohjelma on linjassa organisaation toiminta-ajatuksen (missio) ja tavoitteiden kanssa.</v>
      </c>
      <c r="F34" s="394">
        <f t="shared" si="0"/>
        <v>0</v>
      </c>
      <c r="G34" s="1021" t="s">
        <v>2542</v>
      </c>
      <c r="H34" s="1022"/>
      <c r="I34" s="1022"/>
      <c r="J34" s="1022"/>
      <c r="K34" s="1023"/>
      <c r="L34" s="154"/>
      <c r="M34" s="275"/>
      <c r="N34" s="149"/>
      <c r="O34" s="886" t="str">
        <f>VLOOKUP(VLOOKUP($C$3&amp;"-"&amp;$D34,Import!$C:$D,2,FALSE),Parameters!$C$18:$F$22,Summary!$C$7,FALSE)</f>
        <v xml:space="preserve">0 - Vastaus puuttuu </v>
      </c>
      <c r="P34" s="921" t="str">
        <f>IF(VLOOKUP($C$3&amp;"-"&amp;$D34,Import!$C:$H,3,FALSE)=0,"",VLOOKUP($C$3&amp;"-"&amp;$D34,Import!$C:$H,3,FALSE))</f>
        <v/>
      </c>
      <c r="Q34" s="921" t="str">
        <f>IF(VLOOKUP($C$3&amp;"-"&amp;$D34,Import!$C:$H,4,FALSE)=0,"",VLOOKUP($C$3&amp;"-"&amp;$D34,Import!$C:$H,4,FALSE))</f>
        <v/>
      </c>
      <c r="R34" s="921" t="str">
        <f>IF(VLOOKUP($C$3&amp;"-"&amp;$D34,Import!$C:$H,5,FALSE)=0,"",VLOOKUP($C$3&amp;"-"&amp;$D34,Import!$C:$H,5,FALSE))</f>
        <v/>
      </c>
      <c r="S34" s="922" t="str">
        <f>IF(VLOOKUP($C$3&amp;"-"&amp;$D34,Import!$C:$H,6,FALSE)=0,"",VLOOKUP($C$3&amp;"-"&amp;$D34,Import!$C:$H,6,FALSE))</f>
        <v/>
      </c>
      <c r="T34" s="154"/>
      <c r="U34" s="275"/>
    </row>
    <row r="35" spans="1:21" s="289" customFormat="1" ht="46.8" customHeight="1" x14ac:dyDescent="0.2">
      <c r="A35" s="275"/>
      <c r="B35" s="1190"/>
      <c r="C35" s="1222"/>
      <c r="D35" s="392" t="s">
        <v>13</v>
      </c>
      <c r="E35" s="472" t="str">
        <f>IF(VLOOKUP(CONCATENATE($C$3,"-",$D35),Languages!$A:$D,1,TRUE)=CONCATENATE($C$3,"-",$D35),VLOOKUP(CONCATENATE($C$3,"-",$D35),Languages!$A:$D,Summary!$C$7,TRUE),NA())</f>
        <v>Kyberriskienhallintaohjelma on yhteensovitettu koko organisaation laajuisen riskienhallintaohjelman kanssa.</v>
      </c>
      <c r="F35" s="393">
        <f t="shared" si="0"/>
        <v>0</v>
      </c>
      <c r="G35" s="449" t="s">
        <v>2542</v>
      </c>
      <c r="H35" s="444"/>
      <c r="I35" s="444"/>
      <c r="J35" s="444"/>
      <c r="K35" s="453"/>
      <c r="L35" s="154"/>
      <c r="M35" s="275"/>
      <c r="N35" s="149"/>
      <c r="O35" s="886" t="str">
        <f>VLOOKUP(VLOOKUP($C$3&amp;"-"&amp;$D35,Import!$C:$D,2,FALSE),Parameters!$C$18:$F$22,Summary!$C$7,FALSE)</f>
        <v xml:space="preserve">0 - Vastaus puuttuu </v>
      </c>
      <c r="P35" s="921" t="str">
        <f>IF(VLOOKUP($C$3&amp;"-"&amp;$D35,Import!$C:$H,3,FALSE)=0,"",VLOOKUP($C$3&amp;"-"&amp;$D35,Import!$C:$H,3,FALSE))</f>
        <v/>
      </c>
      <c r="Q35" s="921" t="str">
        <f>IF(VLOOKUP($C$3&amp;"-"&amp;$D35,Import!$C:$H,4,FALSE)=0,"",VLOOKUP($C$3&amp;"-"&amp;$D35,Import!$C:$H,4,FALSE))</f>
        <v/>
      </c>
      <c r="R35" s="921" t="str">
        <f>IF(VLOOKUP($C$3&amp;"-"&amp;$D35,Import!$C:$H,5,FALSE)=0,"",VLOOKUP($C$3&amp;"-"&amp;$D35,Import!$C:$H,5,FALSE))</f>
        <v/>
      </c>
      <c r="S35" s="922" t="str">
        <f>IF(VLOOKUP($C$3&amp;"-"&amp;$D35,Import!$C:$H,6,FALSE)=0,"",VLOOKUP($C$3&amp;"-"&amp;$D35,Import!$C:$H,6,FALSE))</f>
        <v/>
      </c>
      <c r="T35" s="154"/>
      <c r="U35" s="275"/>
    </row>
    <row r="36" spans="1:21" s="177" customFormat="1" ht="30" customHeight="1" x14ac:dyDescent="0.3">
      <c r="A36" s="166"/>
      <c r="B36" s="269"/>
      <c r="C36" s="270">
        <v>2</v>
      </c>
      <c r="D36" s="270" t="str">
        <f>IF(VLOOKUP(CONCATENATE($C$3,"-",C36),Languages!$A:$D,1,TRUE)=CONCATENATE($C$3,"-",C36),VLOOKUP(CONCATENATE($C$3,"-",C36),Languages!$A:$D,Summary!$C$7,TRUE),NA())</f>
        <v>Kyberriskien tunnistaminen</v>
      </c>
      <c r="E36" s="170"/>
      <c r="F36" s="292" t="str">
        <f>IFERROR(INT(LEFT($G36,1)),"")</f>
        <v/>
      </c>
      <c r="G36" s="907"/>
      <c r="H36" s="929"/>
      <c r="I36" s="929"/>
      <c r="J36" s="929"/>
      <c r="K36" s="929"/>
      <c r="L36" s="154"/>
      <c r="M36" s="166"/>
      <c r="N36" s="149"/>
      <c r="O36" s="292"/>
      <c r="P36" s="293"/>
      <c r="Q36" s="293"/>
      <c r="R36" s="293"/>
      <c r="S36" s="293"/>
      <c r="T36" s="154"/>
      <c r="U36" s="166"/>
    </row>
    <row r="37" spans="1:21" s="285" customFormat="1" ht="19.95" customHeight="1" x14ac:dyDescent="0.2">
      <c r="A37" s="304"/>
      <c r="B37" s="279"/>
      <c r="C37" s="280" t="str">
        <f>IF(VLOOKUP("GEN-LEVEL",Languages!$A:$D,1,TRUE)="GEN-LEVEL",VLOOKUP("GEN-LEVEL",Languages!$A:$D,Summary!$C$7,TRUE),NA())</f>
        <v>Taso</v>
      </c>
      <c r="D37" s="280"/>
      <c r="E37" s="281" t="str">
        <f>IF(VLOOKUP("GEN-PRACTICE",Languages!$A:$D,1,TRUE)="GEN-PRACTICE",VLOOKUP("GEN-PRACTICE",Languages!$A:$D,Summary!$C$7,TRUE),NA())</f>
        <v>Käytäntö</v>
      </c>
      <c r="F37" s="282"/>
      <c r="G37" s="904" t="str">
        <f>IF(VLOOKUP("GEN-ANSWER",Languages!$A:$D,1,TRUE)="GEN-ANSWER",VLOOKUP("GEN-ANSWER",Languages!$A:$D,Summary!$C$7,TRUE),NA())</f>
        <v>Vastaus</v>
      </c>
      <c r="H37" s="905" t="str">
        <f>IF(VLOOKUP("KM112",Languages!$A:$D,1,TRUE)="KM112",VLOOKUP("KM112",Languages!$A:$D,Summary!$C$7,TRUE),NA())</f>
        <v>Kommentit</v>
      </c>
      <c r="I37" s="905" t="str">
        <f>IF(VLOOKUP("KM113",Languages!$A:$D,1,TRUE)="KM113",VLOOKUP("KM113",Languages!$A:$D,Summary!$C$7,TRUE),NA())</f>
        <v>Sisäinen viittaus</v>
      </c>
      <c r="J37" s="905" t="str">
        <f>IF(VLOOKUP("KM114",Languages!$A:$D,1,TRUE)="KM114",VLOOKUP("KM114",Languages!$A:$D,Summary!$C$7,TRUE),NA())</f>
        <v>Ulkoinen viittaus</v>
      </c>
      <c r="K37" s="905" t="str">
        <f>IF(VLOOKUP("KM115",Languages!$A:$D,1,TRUE)="KM115",VLOOKUP("KM115",Languages!$A:$D,Summary!$C$7,TRUE),NA())</f>
        <v>Kehityskohde</v>
      </c>
      <c r="L37" s="283"/>
      <c r="M37" s="284"/>
      <c r="N37" s="279"/>
      <c r="O37" s="463" t="str">
        <f>IF(VLOOKUP("GEN-ANSWER",Languages!$A:$D,1,TRUE)="GEN-ANSWER",VLOOKUP("GEN-ANSWER",Languages!$A:$D,Summary!$C$7,TRUE),NA())</f>
        <v>Vastaus</v>
      </c>
      <c r="P37" s="463" t="str">
        <f>IF(VLOOKUP("KM112",Languages!$A:$D,1,TRUE)="KM112",VLOOKUP("KM112",Languages!$A:$D,Summary!$C$7,TRUE),NA())</f>
        <v>Kommentit</v>
      </c>
      <c r="Q37" s="463" t="str">
        <f>IF(VLOOKUP("KM113",Languages!$A:$D,1,TRUE)="KM113",VLOOKUP("KM113",Languages!$A:$D,Summary!$C$7,TRUE),NA())</f>
        <v>Sisäinen viittaus</v>
      </c>
      <c r="R37" s="463" t="str">
        <f>IF(VLOOKUP("KM114",Languages!$A:$D,1,TRUE)="KM114",VLOOKUP("KM114",Languages!$A:$D,Summary!$C$7,TRUE),NA())</f>
        <v>Ulkoinen viittaus</v>
      </c>
      <c r="S37" s="463" t="str">
        <f>IF(VLOOKUP("KM115",Languages!$A:$D,1,TRUE)="KM115",VLOOKUP("KM115",Languages!$A:$D,Summary!$C$7,TRUE),NA())</f>
        <v>Kehityskohde</v>
      </c>
      <c r="T37" s="283"/>
      <c r="U37" s="284"/>
    </row>
    <row r="38" spans="1:21" s="296" customFormat="1" ht="34.950000000000003" customHeight="1" x14ac:dyDescent="0.2">
      <c r="A38" s="305"/>
      <c r="B38" s="1199"/>
      <c r="C38" s="522">
        <v>1</v>
      </c>
      <c r="D38" s="397" t="s">
        <v>17</v>
      </c>
      <c r="E38" s="473" t="str">
        <f>IF(VLOOKUP(CONCATENATE($C$3,"-",$D38),Languages!$A:$D,1,TRUE)=CONCATENATE($C$3,"-",$D38),VLOOKUP(CONCATENATE($C$3,"-",$D38),Languages!$A:$D,Summary!$C$7,TRUE),NA())</f>
        <v>Kyberriskejä tunnistetaan. Tasolla 1 tämän ei tarvitse olla systemaattista ja säännöllistä.</v>
      </c>
      <c r="F38" s="398">
        <f t="shared" ref="F38:F50" si="1">IFERROR(INT(LEFT($G38,1)),0)</f>
        <v>0</v>
      </c>
      <c r="G38" s="488" t="s">
        <v>2542</v>
      </c>
      <c r="H38" s="489"/>
      <c r="I38" s="489"/>
      <c r="J38" s="489"/>
      <c r="K38" s="490"/>
      <c r="L38" s="154"/>
      <c r="M38" s="305"/>
      <c r="N38" s="149"/>
      <c r="O38" s="936" t="str">
        <f>VLOOKUP(VLOOKUP($C$3&amp;"-"&amp;$D38,Import!$C:$D,2,FALSE),Parameters!$C$18:$F$22,Summary!$C$7,FALSE)</f>
        <v xml:space="preserve">0 - Vastaus puuttuu </v>
      </c>
      <c r="P38" s="937" t="str">
        <f>IF(VLOOKUP($C$3&amp;"-"&amp;$D38,Import!$C:$H,3,FALSE)=0,"",VLOOKUP($C$3&amp;"-"&amp;$D38,Import!$C:$H,3,FALSE))</f>
        <v/>
      </c>
      <c r="Q38" s="937" t="str">
        <f>IF(VLOOKUP($C$3&amp;"-"&amp;$D38,Import!$C:$H,4,FALSE)=0,"",VLOOKUP($C$3&amp;"-"&amp;$D38,Import!$C:$H,4,FALSE))</f>
        <v/>
      </c>
      <c r="R38" s="937" t="str">
        <f>IF(VLOOKUP($C$3&amp;"-"&amp;$D38,Import!$C:$H,5,FALSE)=0,"",VLOOKUP($C$3&amp;"-"&amp;$D38,Import!$C:$H,5,FALSE))</f>
        <v/>
      </c>
      <c r="S38" s="938" t="str">
        <f>IF(VLOOKUP($C$3&amp;"-"&amp;$D38,Import!$C:$H,6,FALSE)=0,"",VLOOKUP($C$3&amp;"-"&amp;$D38,Import!$C:$H,6,FALSE))</f>
        <v/>
      </c>
      <c r="T38" s="154"/>
      <c r="U38" s="305"/>
    </row>
    <row r="39" spans="1:21" s="296" customFormat="1" ht="65.400000000000006" customHeight="1" x14ac:dyDescent="0.2">
      <c r="A39" s="305"/>
      <c r="B39" s="1199"/>
      <c r="C39" s="1207">
        <v>2</v>
      </c>
      <c r="D39" s="395" t="s">
        <v>18</v>
      </c>
      <c r="E39" s="467" t="str">
        <f>IF(VLOOKUP(CONCATENATE($C$3,"-",$D39),Languages!$A:$D,1,TRUE)=CONCATENATE($C$3,"-",$D39),VLOOKUP(CONCATENATE($C$3,"-",$D39),Languages!$A:$D,Summary!$C$7,TRUE),NA())</f>
        <v>Kyberriskien tunnistamiseen käytetään määriteltyjä menetelmiä.</v>
      </c>
      <c r="F39" s="386">
        <f t="shared" si="1"/>
        <v>0</v>
      </c>
      <c r="G39" s="445" t="s">
        <v>2542</v>
      </c>
      <c r="H39" s="442"/>
      <c r="I39" s="442"/>
      <c r="J39" s="442"/>
      <c r="K39" s="451"/>
      <c r="L39" s="154"/>
      <c r="M39" s="305"/>
      <c r="N39" s="149"/>
      <c r="O39" s="889" t="str">
        <f>VLOOKUP(VLOOKUP($C$3&amp;"-"&amp;$D39,Import!$C:$D,2,FALSE),Parameters!$C$18:$F$22,Summary!$C$7,FALSE)</f>
        <v xml:space="preserve">0 - Vastaus puuttuu </v>
      </c>
      <c r="P39" s="921" t="str">
        <f>IF(VLOOKUP($C$3&amp;"-"&amp;$D39,Import!$C:$H,3,FALSE)=0,"",VLOOKUP($C$3&amp;"-"&amp;$D39,Import!$C:$H,3,FALSE))</f>
        <v/>
      </c>
      <c r="Q39" s="921" t="str">
        <f>IF(VLOOKUP($C$3&amp;"-"&amp;$D39,Import!$C:$H,4,FALSE)=0,"",VLOOKUP($C$3&amp;"-"&amp;$D39,Import!$C:$H,4,FALSE))</f>
        <v/>
      </c>
      <c r="R39" s="921" t="str">
        <f>IF(VLOOKUP($C$3&amp;"-"&amp;$D39,Import!$C:$H,5,FALSE)=0,"",VLOOKUP($C$3&amp;"-"&amp;$D39,Import!$C:$H,5,FALSE))</f>
        <v/>
      </c>
      <c r="S39" s="922" t="str">
        <f>IF(VLOOKUP($C$3&amp;"-"&amp;$D39,Import!$C:$H,6,FALSE)=0,"",VLOOKUP($C$3&amp;"-"&amp;$D39,Import!$C:$H,6,FALSE))</f>
        <v/>
      </c>
      <c r="T39" s="154"/>
      <c r="U39" s="305"/>
    </row>
    <row r="40" spans="1:21" s="296" customFormat="1" ht="34.950000000000003" customHeight="1" x14ac:dyDescent="0.2">
      <c r="A40" s="305"/>
      <c r="B40" s="1199"/>
      <c r="C40" s="1212"/>
      <c r="D40" s="294" t="s">
        <v>19</v>
      </c>
      <c r="E40" s="468" t="str">
        <f>IF(VLOOKUP(CONCATENATE($C$3,"-",$D40),Languages!$A:$D,1,TRUE)=CONCATENATE($C$3,"-",$D40),VLOOKUP(CONCATENATE($C$3,"-",$D40),Languages!$A:$D,Summary!$C$7,TRUE),NA())</f>
        <v xml:space="preserve">Kyberriskien tunnistamiseen osallistuu soveltuvilta osin sidosryhmiä operatiivisista ja liiketoimintayksiköistä. </v>
      </c>
      <c r="F40" s="287">
        <f t="shared" si="1"/>
        <v>0</v>
      </c>
      <c r="G40" s="307" t="s">
        <v>2542</v>
      </c>
      <c r="H40" s="443"/>
      <c r="I40" s="443"/>
      <c r="J40" s="443"/>
      <c r="K40" s="452"/>
      <c r="L40" s="154"/>
      <c r="M40" s="305"/>
      <c r="N40" s="149"/>
      <c r="O40" s="892" t="str">
        <f>VLOOKUP(VLOOKUP($C$3&amp;"-"&amp;$D40,Import!$C:$D,2,FALSE),Parameters!$C$18:$F$22,Summary!$C$7,FALSE)</f>
        <v xml:space="preserve">0 - Vastaus puuttuu </v>
      </c>
      <c r="P40" s="916" t="str">
        <f>IF(VLOOKUP($C$3&amp;"-"&amp;$D40,Import!$C:$H,3,FALSE)=0,"",VLOOKUP($C$3&amp;"-"&amp;$D40,Import!$C:$H,3,FALSE))</f>
        <v/>
      </c>
      <c r="Q40" s="916" t="str">
        <f>IF(VLOOKUP($C$3&amp;"-"&amp;$D40,Import!$C:$H,4,FALSE)=0,"",VLOOKUP($C$3&amp;"-"&amp;$D40,Import!$C:$H,4,FALSE))</f>
        <v/>
      </c>
      <c r="R40" s="916" t="str">
        <f>IF(VLOOKUP($C$3&amp;"-"&amp;$D40,Import!$C:$H,5,FALSE)=0,"",VLOOKUP($C$3&amp;"-"&amp;$D40,Import!$C:$H,5,FALSE))</f>
        <v/>
      </c>
      <c r="S40" s="917" t="str">
        <f>IF(VLOOKUP($C$3&amp;"-"&amp;$D40,Import!$C:$H,6,FALSE)=0,"",VLOOKUP($C$3&amp;"-"&amp;$D40,Import!$C:$H,6,FALSE))</f>
        <v/>
      </c>
      <c r="T40" s="154"/>
      <c r="U40" s="305"/>
    </row>
    <row r="41" spans="1:21" s="296" customFormat="1" ht="34.950000000000003" customHeight="1" x14ac:dyDescent="0.2">
      <c r="A41" s="305"/>
      <c r="B41" s="1199"/>
      <c r="C41" s="1212"/>
      <c r="D41" s="294" t="s">
        <v>20</v>
      </c>
      <c r="E41" s="468" t="str">
        <f>IF(VLOOKUP(CONCATENATE($C$3,"-",$D41),Languages!$A:$D,1,TRUE)=CONCATENATE($C$3,"-",$D41),VLOOKUP(CONCATENATE($C$3,"-",$D41),Languages!$A:$D,Summary!$C$7,TRUE),NA())</f>
        <v>Tunnistetut kyberriskit jaetaan erillisiin kategorioihin, jotta riskejä voidaan hallita kategoriakohtaisesti (kategorioita voivat olla esimerkiksi tietovuodot, sisäiset virheet, ransomware tai OT-laitteiden kaappaus).</v>
      </c>
      <c r="F41" s="287">
        <f t="shared" si="1"/>
        <v>0</v>
      </c>
      <c r="G41" s="307" t="s">
        <v>2542</v>
      </c>
      <c r="H41" s="443"/>
      <c r="I41" s="443"/>
      <c r="J41" s="443"/>
      <c r="K41" s="452"/>
      <c r="L41" s="154"/>
      <c r="M41" s="305"/>
      <c r="N41" s="149"/>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54"/>
      <c r="U41" s="305"/>
    </row>
    <row r="42" spans="1:21" s="296" customFormat="1" ht="34.950000000000003" customHeight="1" x14ac:dyDescent="0.2">
      <c r="A42" s="305"/>
      <c r="B42" s="1199"/>
      <c r="C42" s="1212"/>
      <c r="D42" s="294" t="s">
        <v>21</v>
      </c>
      <c r="E42" s="468" t="str">
        <f>IF(VLOOKUP(CONCATENATE($C$3,"-",$D42),Languages!$A:$D,1,TRUE)=CONCATENATE($C$3,"-",$D42),VLOOKUP(CONCATENATE($C$3,"-",$D42),Languages!$A:$D,Summary!$C$7,TRUE),NA())</f>
        <v>Kyberriskit ja kyberriskikategoriat dokumentoidaan riskirekisteriin (tai vastaavaan tietovarastoon).</v>
      </c>
      <c r="F42" s="287">
        <f t="shared" si="1"/>
        <v>0</v>
      </c>
      <c r="G42" s="307" t="s">
        <v>2542</v>
      </c>
      <c r="H42" s="443"/>
      <c r="I42" s="443"/>
      <c r="J42" s="443"/>
      <c r="K42" s="452"/>
      <c r="L42" s="154"/>
      <c r="M42" s="305"/>
      <c r="N42" s="149"/>
      <c r="O42" s="892" t="str">
        <f>VLOOKUP(VLOOKUP($C$3&amp;"-"&amp;$D42,Import!$C:$D,2,FALSE),Parameters!$C$18:$F$22,Summary!$C$7,FALSE)</f>
        <v xml:space="preserve">0 - Vastaus puuttuu </v>
      </c>
      <c r="P42" s="916" t="str">
        <f>IF(VLOOKUP($C$3&amp;"-"&amp;$D42,Import!$C:$H,3,FALSE)=0,"",VLOOKUP($C$3&amp;"-"&amp;$D42,Import!$C:$H,3,FALSE))</f>
        <v/>
      </c>
      <c r="Q42" s="916" t="str">
        <f>IF(VLOOKUP($C$3&amp;"-"&amp;$D42,Import!$C:$H,4,FALSE)=0,"",VLOOKUP($C$3&amp;"-"&amp;$D42,Import!$C:$H,4,FALSE))</f>
        <v/>
      </c>
      <c r="R42" s="916" t="str">
        <f>IF(VLOOKUP($C$3&amp;"-"&amp;$D42,Import!$C:$H,5,FALSE)=0,"",VLOOKUP($C$3&amp;"-"&amp;$D42,Import!$C:$H,5,FALSE))</f>
        <v/>
      </c>
      <c r="S42" s="917" t="str">
        <f>IF(VLOOKUP($C$3&amp;"-"&amp;$D42,Import!$C:$H,6,FALSE)=0,"",VLOOKUP($C$3&amp;"-"&amp;$D42,Import!$C:$H,6,FALSE))</f>
        <v/>
      </c>
      <c r="T42" s="154"/>
      <c r="U42" s="305"/>
    </row>
    <row r="43" spans="1:21" s="296" customFormat="1" ht="34.950000000000003" customHeight="1" x14ac:dyDescent="0.2">
      <c r="A43" s="305"/>
      <c r="B43" s="380"/>
      <c r="C43" s="1212"/>
      <c r="D43" s="294" t="s">
        <v>103</v>
      </c>
      <c r="E43" s="468" t="str">
        <f>IF(VLOOKUP(CONCATENATE($C$3,"-",$D43),Languages!$A:$D,1,TRUE)=CONCATENATE($C$3,"-",$D43),VLOOKUP(CONCATENATE($C$3,"-",$D43),Languages!$A:$D,Summary!$C$7,TRUE),NA())</f>
        <v>Kyberriskeille ja kyberriskikategorioille on nimitetty omistajat.</v>
      </c>
      <c r="F43" s="287">
        <f t="shared" si="1"/>
        <v>0</v>
      </c>
      <c r="G43" s="307" t="s">
        <v>2542</v>
      </c>
      <c r="H43" s="443"/>
      <c r="I43" s="443"/>
      <c r="J43" s="443"/>
      <c r="K43" s="452"/>
      <c r="L43" s="154"/>
      <c r="M43" s="305"/>
      <c r="N43" s="149"/>
      <c r="O43" s="892" t="str">
        <f>VLOOKUP(VLOOKUP($C$3&amp;"-"&amp;$D43,Import!$C:$D,2,FALSE),Parameters!$C$18:$F$22,Summary!$C$7,FALSE)</f>
        <v xml:space="preserve">0 - Vastaus puuttuu </v>
      </c>
      <c r="P43" s="916" t="str">
        <f>IF(VLOOKUP($C$3&amp;"-"&amp;$D43,Import!$C:$H,3,FALSE)=0,"",VLOOKUP($C$3&amp;"-"&amp;$D43,Import!$C:$H,3,FALSE))</f>
        <v/>
      </c>
      <c r="Q43" s="916" t="str">
        <f>IF(VLOOKUP($C$3&amp;"-"&amp;$D43,Import!$C:$H,4,FALSE)=0,"",VLOOKUP($C$3&amp;"-"&amp;$D43,Import!$C:$H,4,FALSE))</f>
        <v/>
      </c>
      <c r="R43" s="916" t="str">
        <f>IF(VLOOKUP($C$3&amp;"-"&amp;$D43,Import!$C:$H,5,FALSE)=0,"",VLOOKUP($C$3&amp;"-"&amp;$D43,Import!$C:$H,5,FALSE))</f>
        <v/>
      </c>
      <c r="S43" s="917" t="str">
        <f>IF(VLOOKUP($C$3&amp;"-"&amp;$D43,Import!$C:$H,6,FALSE)=0,"",VLOOKUP($C$3&amp;"-"&amp;$D43,Import!$C:$H,6,FALSE))</f>
        <v/>
      </c>
      <c r="T43" s="154"/>
      <c r="U43" s="305"/>
    </row>
    <row r="44" spans="1:21" s="296" customFormat="1" ht="45" customHeight="1" x14ac:dyDescent="0.2">
      <c r="A44" s="305"/>
      <c r="B44" s="380"/>
      <c r="C44" s="1208"/>
      <c r="D44" s="396" t="s">
        <v>165</v>
      </c>
      <c r="E44" s="474" t="str">
        <f>IF(VLOOKUP(CONCATENATE($C$3,"-",$D44),Languages!$A:$D,1,TRUE)=CONCATENATE($C$3,"-",$D44),VLOOKUP(CONCATENATE($C$3,"-",$D44),Languages!$A:$D,Summary!$C$7,TRUE),NA())</f>
        <v>Kyberriskien tunnistamista tehdään aika ajoin ja määriteltyjen tilanteiden, kuten järjestelmämuutosten tai ulkoisten kybertapahtumien yhteydessä.</v>
      </c>
      <c r="F44" s="393">
        <f t="shared" si="1"/>
        <v>0</v>
      </c>
      <c r="G44" s="449" t="s">
        <v>2542</v>
      </c>
      <c r="H44" s="444"/>
      <c r="I44" s="444"/>
      <c r="J44" s="444"/>
      <c r="K44" s="453"/>
      <c r="L44" s="154"/>
      <c r="M44" s="305"/>
      <c r="N44" s="149"/>
      <c r="O44" s="897" t="str">
        <f>VLOOKUP(VLOOKUP($C$3&amp;"-"&amp;$D44,Import!$C:$D,2,FALSE),Parameters!$C$18:$F$22,Summary!$C$7,FALSE)</f>
        <v xml:space="preserve">0 - Vastaus puuttuu </v>
      </c>
      <c r="P44" s="923" t="str">
        <f>IF(VLOOKUP($C$3&amp;"-"&amp;$D44,Import!$C:$H,3,FALSE)=0,"",VLOOKUP($C$3&amp;"-"&amp;$D44,Import!$C:$H,3,FALSE))</f>
        <v/>
      </c>
      <c r="Q44" s="923" t="str">
        <f>IF(VLOOKUP($C$3&amp;"-"&amp;$D44,Import!$C:$H,4,FALSE)=0,"",VLOOKUP($C$3&amp;"-"&amp;$D44,Import!$C:$H,4,FALSE))</f>
        <v/>
      </c>
      <c r="R44" s="923" t="str">
        <f>IF(VLOOKUP($C$3&amp;"-"&amp;$D44,Import!$C:$H,5,FALSE)=0,"",VLOOKUP($C$3&amp;"-"&amp;$D44,Import!$C:$H,5,FALSE))</f>
        <v/>
      </c>
      <c r="S44" s="924" t="str">
        <f>IF(VLOOKUP($C$3&amp;"-"&amp;$D44,Import!$C:$H,6,FALSE)=0,"",VLOOKUP($C$3&amp;"-"&amp;$D44,Import!$C:$H,6,FALSE))</f>
        <v/>
      </c>
      <c r="T44" s="154"/>
      <c r="U44" s="305"/>
    </row>
    <row r="45" spans="1:21" s="296" customFormat="1" ht="47.4" customHeight="1" x14ac:dyDescent="0.2">
      <c r="A45" s="305"/>
      <c r="B45" s="380"/>
      <c r="C45" s="1209">
        <v>3</v>
      </c>
      <c r="D45" s="395" t="s">
        <v>167</v>
      </c>
      <c r="E45" s="467" t="str">
        <f>IF(VLOOKUP(CONCATENATE($C$3,"-",$D45),Languages!$A:$D,1,TRUE)=CONCATENATE($C$3,"-",$D45),VLOOKUP(CONCATENATE($C$3,"-",$D45),Languages!$A:$D,Summary!$C$7,TRUE),NA())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45" s="386">
        <f t="shared" si="1"/>
        <v>0</v>
      </c>
      <c r="G45" s="445" t="s">
        <v>2542</v>
      </c>
      <c r="H45" s="442"/>
      <c r="I45" s="442"/>
      <c r="J45" s="442"/>
      <c r="K45" s="451"/>
      <c r="L45" s="154"/>
      <c r="M45" s="305"/>
      <c r="N45" s="149"/>
      <c r="O45" s="889" t="str">
        <f>VLOOKUP(VLOOKUP($C$3&amp;"-"&amp;$D45,Import!$C:$D,2,FALSE),Parameters!$C$18:$F$22,Summary!$C$7,FALSE)</f>
        <v xml:space="preserve">0 - Vastaus puuttuu </v>
      </c>
      <c r="P45" s="921" t="str">
        <f>IF(VLOOKUP($C$3&amp;"-"&amp;$D45,Import!$C:$H,3,FALSE)=0,"",VLOOKUP($C$3&amp;"-"&amp;$D45,Import!$C:$H,3,FALSE))</f>
        <v/>
      </c>
      <c r="Q45" s="921" t="str">
        <f>IF(VLOOKUP($C$3&amp;"-"&amp;$D45,Import!$C:$H,4,FALSE)=0,"",VLOOKUP($C$3&amp;"-"&amp;$D45,Import!$C:$H,4,FALSE))</f>
        <v/>
      </c>
      <c r="R45" s="921" t="str">
        <f>IF(VLOOKUP($C$3&amp;"-"&amp;$D45,Import!$C:$H,5,FALSE)=0,"",VLOOKUP($C$3&amp;"-"&amp;$D45,Import!$C:$H,5,FALSE))</f>
        <v/>
      </c>
      <c r="S45" s="922" t="str">
        <f>IF(VLOOKUP($C$3&amp;"-"&amp;$D45,Import!$C:$H,6,FALSE)=0,"",VLOOKUP($C$3&amp;"-"&amp;$D45,Import!$C:$H,6,FALSE))</f>
        <v/>
      </c>
      <c r="T45" s="154"/>
      <c r="U45" s="305"/>
    </row>
    <row r="46" spans="1:21" s="296" customFormat="1" ht="78" customHeight="1" x14ac:dyDescent="0.2">
      <c r="A46" s="305"/>
      <c r="B46" s="380"/>
      <c r="C46" s="1210"/>
      <c r="D46" s="294" t="s">
        <v>198</v>
      </c>
      <c r="E46" s="468" t="str">
        <f>IF(VLOOKUP(CONCATENATE($C$3,"-",$D46),Languages!$A:$D,1,TRUE)=CONCATENATE($C$3,"-",$D46),VLOOKUP(CONCATENATE($C$3,"-",$D46),Languages!$A:$D,Summary!$C$7,TRUE),NA())</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46" s="287">
        <f t="shared" si="1"/>
        <v>0</v>
      </c>
      <c r="G46" s="307" t="s">
        <v>2542</v>
      </c>
      <c r="H46" s="443"/>
      <c r="I46" s="443"/>
      <c r="J46" s="443"/>
      <c r="K46" s="452"/>
      <c r="L46" s="154"/>
      <c r="M46" s="305"/>
      <c r="N46" s="149"/>
      <c r="O46" s="892" t="str">
        <f>VLOOKUP(VLOOKUP($C$3&amp;"-"&amp;$D46,Import!$C:$D,2,FALSE),Parameters!$C$18:$F$22,Summary!$C$7,FALSE)</f>
        <v xml:space="preserve">0 - Vastaus puuttuu </v>
      </c>
      <c r="P46" s="916" t="str">
        <f>IF(VLOOKUP($C$3&amp;"-"&amp;$D46,Import!$C:$H,3,FALSE)=0,"",VLOOKUP($C$3&amp;"-"&amp;$D46,Import!$C:$H,3,FALSE))</f>
        <v/>
      </c>
      <c r="Q46" s="916" t="str">
        <f>IF(VLOOKUP($C$3&amp;"-"&amp;$D46,Import!$C:$H,4,FALSE)=0,"",VLOOKUP($C$3&amp;"-"&amp;$D46,Import!$C:$H,4,FALSE))</f>
        <v/>
      </c>
      <c r="R46" s="916" t="str">
        <f>IF(VLOOKUP($C$3&amp;"-"&amp;$D46,Import!$C:$H,5,FALSE)=0,"",VLOOKUP($C$3&amp;"-"&amp;$D46,Import!$C:$H,5,FALSE))</f>
        <v/>
      </c>
      <c r="S46" s="917" t="str">
        <f>IF(VLOOKUP($C$3&amp;"-"&amp;$D46,Import!$C:$H,6,FALSE)=0,"",VLOOKUP($C$3&amp;"-"&amp;$D46,Import!$C:$H,6,FALSE))</f>
        <v/>
      </c>
      <c r="T46" s="154"/>
      <c r="U46" s="305"/>
    </row>
    <row r="47" spans="1:21" s="296" customFormat="1" ht="45" customHeight="1" x14ac:dyDescent="0.2">
      <c r="A47" s="305"/>
      <c r="B47" s="380"/>
      <c r="C47" s="1210"/>
      <c r="D47" s="294" t="s">
        <v>200</v>
      </c>
      <c r="E47" s="468" t="str">
        <f>IF(VLOOKUP(CONCATENATE($C$3,"-",$D47),Languages!$A:$D,1,TRUE)=CONCATENATE($C$3,"-",$D47),VLOOKUP(CONCATENATE($C$3,"-",$D47),Languages!$A:$D,Summary!$C$7,TRUE),NA())</f>
        <v>Uhkatietoa uhkien hallinnan osiosta [kts. THREAT] käytetään uusien kyberriskien tunnistamiseen ja olemassa olevien kyberriskien päivittämiseen.</v>
      </c>
      <c r="F47" s="287">
        <f t="shared" si="1"/>
        <v>0</v>
      </c>
      <c r="G47" s="307" t="s">
        <v>2542</v>
      </c>
      <c r="H47" s="443"/>
      <c r="I47" s="443"/>
      <c r="J47" s="443"/>
      <c r="K47" s="452"/>
      <c r="L47" s="154"/>
      <c r="M47" s="305"/>
      <c r="N47" s="149"/>
      <c r="O47" s="892" t="str">
        <f>VLOOKUP(VLOOKUP($C$3&amp;"-"&amp;$D47,Import!$C:$D,2,FALSE),Parameters!$C$18:$F$22,Summary!$C$7,FALSE)</f>
        <v xml:space="preserve">0 - Vastaus puuttuu </v>
      </c>
      <c r="P47" s="916" t="str">
        <f>IF(VLOOKUP($C$3&amp;"-"&amp;$D47,Import!$C:$H,3,FALSE)=0,"",VLOOKUP($C$3&amp;"-"&amp;$D47,Import!$C:$H,3,FALSE))</f>
        <v/>
      </c>
      <c r="Q47" s="916" t="str">
        <f>IF(VLOOKUP($C$3&amp;"-"&amp;$D47,Import!$C:$H,4,FALSE)=0,"",VLOOKUP($C$3&amp;"-"&amp;$D47,Import!$C:$H,4,FALSE))</f>
        <v/>
      </c>
      <c r="R47" s="916" t="str">
        <f>IF(VLOOKUP($C$3&amp;"-"&amp;$D47,Import!$C:$H,5,FALSE)=0,"",VLOOKUP($C$3&amp;"-"&amp;$D47,Import!$C:$H,5,FALSE))</f>
        <v/>
      </c>
      <c r="S47" s="917" t="str">
        <f>IF(VLOOKUP($C$3&amp;"-"&amp;$D47,Import!$C:$H,6,FALSE)=0,"",VLOOKUP($C$3&amp;"-"&amp;$D47,Import!$C:$H,6,FALSE))</f>
        <v/>
      </c>
      <c r="T47" s="154"/>
      <c r="U47" s="305"/>
    </row>
    <row r="48" spans="1:21" s="296" customFormat="1" ht="45" customHeight="1" x14ac:dyDescent="0.2">
      <c r="A48" s="305"/>
      <c r="B48" s="380"/>
      <c r="C48" s="1210"/>
      <c r="D48" s="294" t="s">
        <v>202</v>
      </c>
      <c r="E48" s="468" t="str">
        <f>IF(VLOOKUP(CONCATENATE($C$3,"-",$D48),Languages!$A:$D,1,TRUE)=CONCATENATE($C$3,"-",$D48),VLOOKUP(CONCATENATE($C$3,"-",$D48),Languages!$A:$D,Summary!$C$7,TRUE),NA())</f>
        <v>Kumppaniverkoston riskienhallinnan osion toimenpiteistä [kts. THIRD-PARTIES] saatua tietoa käytetään uusien kyberriskien tunnistamiseen ja olemassa olevien kyberriskien päivittämiseen.</v>
      </c>
      <c r="F48" s="287">
        <f t="shared" si="1"/>
        <v>0</v>
      </c>
      <c r="G48" s="307" t="s">
        <v>2542</v>
      </c>
      <c r="H48" s="443"/>
      <c r="I48" s="443"/>
      <c r="J48" s="443"/>
      <c r="K48" s="452"/>
      <c r="L48" s="154"/>
      <c r="M48" s="305"/>
      <c r="N48" s="149"/>
      <c r="O48" s="892" t="str">
        <f>VLOOKUP(VLOOKUP($C$3&amp;"-"&amp;$D48,Import!$C:$D,2,FALSE),Parameters!$C$18:$F$22,Summary!$C$7,FALSE)</f>
        <v xml:space="preserve">0 - Vastaus puuttuu </v>
      </c>
      <c r="P48" s="916" t="str">
        <f>IF(VLOOKUP($C$3&amp;"-"&amp;$D48,Import!$C:$H,3,FALSE)=0,"",VLOOKUP($C$3&amp;"-"&amp;$D48,Import!$C:$H,3,FALSE))</f>
        <v/>
      </c>
      <c r="Q48" s="916" t="str">
        <f>IF(VLOOKUP($C$3&amp;"-"&amp;$D48,Import!$C:$H,4,FALSE)=0,"",VLOOKUP($C$3&amp;"-"&amp;$D48,Import!$C:$H,4,FALSE))</f>
        <v/>
      </c>
      <c r="R48" s="916" t="str">
        <f>IF(VLOOKUP($C$3&amp;"-"&amp;$D48,Import!$C:$H,5,FALSE)=0,"",VLOOKUP($C$3&amp;"-"&amp;$D48,Import!$C:$H,5,FALSE))</f>
        <v/>
      </c>
      <c r="S48" s="917" t="str">
        <f>IF(VLOOKUP($C$3&amp;"-"&amp;$D48,Import!$C:$H,6,FALSE)=0,"",VLOOKUP($C$3&amp;"-"&amp;$D48,Import!$C:$H,6,FALSE))</f>
        <v/>
      </c>
      <c r="T48" s="154"/>
      <c r="U48" s="305"/>
    </row>
    <row r="49" spans="1:21" s="296" customFormat="1" ht="60" customHeight="1" x14ac:dyDescent="0.2">
      <c r="A49" s="305"/>
      <c r="B49" s="380"/>
      <c r="C49" s="1210"/>
      <c r="D49" s="294" t="s">
        <v>203</v>
      </c>
      <c r="E49" s="468" t="str">
        <f>IF(VLOOKUP(CONCATENATE($C$3,"-",$D49),Languages!$A:$D,1,TRUE)=CONCATENATE($C$3,"-",$D49),VLOOKUP(CONCATENATE($C$3,"-",$D49),Languages!$A:$D,Summary!$C$7,TRUE),NA())</f>
        <v>Kyberarkkitehtuuri-osion [kts. ARCHITECTURE] toimilla tuotettua tietoa (kuten käsittelemättömät poikkeamat organisaation tavoitelemassa kyberarkkitehtuurissa) käytetään  uusien kyberriskien tunnistamiseen ja olemassa olevien kyberriskien päivittämiseen</v>
      </c>
      <c r="F49" s="287">
        <f t="shared" si="1"/>
        <v>0</v>
      </c>
      <c r="G49" s="307" t="s">
        <v>2542</v>
      </c>
      <c r="H49" s="443"/>
      <c r="I49" s="443"/>
      <c r="J49" s="443"/>
      <c r="K49" s="452"/>
      <c r="L49" s="154"/>
      <c r="M49" s="305"/>
      <c r="N49" s="149"/>
      <c r="O49" s="892" t="str">
        <f>VLOOKUP(VLOOKUP($C$3&amp;"-"&amp;$D49,Import!$C:$D,2,FALSE),Parameters!$C$18:$F$22,Summary!$C$7,FALSE)</f>
        <v xml:space="preserve">0 - Vastaus puuttuu </v>
      </c>
      <c r="P49" s="916" t="str">
        <f>IF(VLOOKUP($C$3&amp;"-"&amp;$D49,Import!$C:$H,3,FALSE)=0,"",VLOOKUP($C$3&amp;"-"&amp;$D49,Import!$C:$H,3,FALSE))</f>
        <v/>
      </c>
      <c r="Q49" s="916" t="str">
        <f>IF(VLOOKUP($C$3&amp;"-"&amp;$D49,Import!$C:$H,4,FALSE)=0,"",VLOOKUP($C$3&amp;"-"&amp;$D49,Import!$C:$H,4,FALSE))</f>
        <v/>
      </c>
      <c r="R49" s="916" t="str">
        <f>IF(VLOOKUP($C$3&amp;"-"&amp;$D49,Import!$C:$H,5,FALSE)=0,"",VLOOKUP($C$3&amp;"-"&amp;$D49,Import!$C:$H,5,FALSE))</f>
        <v/>
      </c>
      <c r="S49" s="917" t="str">
        <f>IF(VLOOKUP($C$3&amp;"-"&amp;$D49,Import!$C:$H,6,FALSE)=0,"",VLOOKUP($C$3&amp;"-"&amp;$D49,Import!$C:$H,6,FALSE))</f>
        <v/>
      </c>
      <c r="T49" s="154"/>
      <c r="U49" s="305"/>
    </row>
    <row r="50" spans="1:21" s="296" customFormat="1" ht="45" customHeight="1" x14ac:dyDescent="0.2">
      <c r="A50" s="305"/>
      <c r="B50" s="380"/>
      <c r="C50" s="1211"/>
      <c r="D50" s="396" t="s">
        <v>204</v>
      </c>
      <c r="E50" s="474" t="str">
        <f>IF(VLOOKUP(CONCATENATE($C$3,"-",$D50),Languages!$A:$D,1,TRUE)=CONCATENATE($C$3,"-",$D50),VLOOKUP(CONCATENATE($C$3,"-",$D50),Languages!$A:$D,Summary!$C$7,TRUE),NA())</f>
        <v>Kyberriskien tunnistamisessa huomioidaan riskit, jotka aiheutuvat kriittisestä infrastruktuurista tai keskinäisriippuvaisista organisaatioista tai kohdistuvat niihin.</v>
      </c>
      <c r="F50" s="393">
        <f t="shared" si="1"/>
        <v>0</v>
      </c>
      <c r="G50" s="449" t="s">
        <v>2542</v>
      </c>
      <c r="H50" s="444"/>
      <c r="I50" s="444"/>
      <c r="J50" s="444"/>
      <c r="K50" s="453"/>
      <c r="L50" s="154"/>
      <c r="M50" s="305"/>
      <c r="N50" s="149"/>
      <c r="O50" s="897" t="str">
        <f>VLOOKUP(VLOOKUP($C$3&amp;"-"&amp;$D50,Import!$C:$D,2,FALSE),Parameters!$C$18:$F$22,Summary!$C$7,FALSE)</f>
        <v xml:space="preserve">0 - Vastaus puuttuu </v>
      </c>
      <c r="P50" s="923" t="str">
        <f>IF(VLOOKUP($C$3&amp;"-"&amp;$D50,Import!$C:$H,3,FALSE)=0,"",VLOOKUP($C$3&amp;"-"&amp;$D50,Import!$C:$H,3,FALSE))</f>
        <v/>
      </c>
      <c r="Q50" s="923" t="str">
        <f>IF(VLOOKUP($C$3&amp;"-"&amp;$D50,Import!$C:$H,4,FALSE)=0,"",VLOOKUP($C$3&amp;"-"&amp;$D50,Import!$C:$H,4,FALSE))</f>
        <v/>
      </c>
      <c r="R50" s="923" t="str">
        <f>IF(VLOOKUP($C$3&amp;"-"&amp;$D50,Import!$C:$H,5,FALSE)=0,"",VLOOKUP($C$3&amp;"-"&amp;$D50,Import!$C:$H,5,FALSE))</f>
        <v/>
      </c>
      <c r="S50" s="924" t="str">
        <f>IF(VLOOKUP($C$3&amp;"-"&amp;$D50,Import!$C:$H,6,FALSE)=0,"",VLOOKUP($C$3&amp;"-"&amp;$D50,Import!$C:$H,6,FALSE))</f>
        <v/>
      </c>
      <c r="T50" s="154"/>
      <c r="U50" s="305"/>
    </row>
    <row r="51" spans="1:21" s="177" customFormat="1" ht="30" customHeight="1" x14ac:dyDescent="0.3">
      <c r="A51" s="174"/>
      <c r="B51" s="269"/>
      <c r="C51" s="270">
        <v>3</v>
      </c>
      <c r="D51" s="270" t="str">
        <f>IF(VLOOKUP(CONCATENATE($C$3,"-",C51),Languages!$A:$D,1,TRUE)=CONCATENATE($C$3,"-",C51),VLOOKUP(CONCATENATE($C$3,"-",C51),Languages!$A:$D,Summary!$C$7,TRUE),NA())</f>
        <v>Riskien analysointi</v>
      </c>
      <c r="E51" s="170"/>
      <c r="F51" s="292" t="str">
        <f>IFERROR(INT(LEFT($G51,1)),"")</f>
        <v/>
      </c>
      <c r="G51" s="907"/>
      <c r="H51" s="929"/>
      <c r="I51" s="929"/>
      <c r="J51" s="929"/>
      <c r="K51" s="929"/>
      <c r="L51" s="154"/>
      <c r="M51" s="174"/>
      <c r="N51" s="149"/>
      <c r="O51" s="292"/>
      <c r="P51" s="293"/>
      <c r="Q51" s="293"/>
      <c r="R51" s="293"/>
      <c r="S51" s="293"/>
      <c r="T51" s="154"/>
      <c r="U51" s="174"/>
    </row>
    <row r="52" spans="1:21" s="285" customFormat="1" ht="19.95" customHeight="1" x14ac:dyDescent="0.2">
      <c r="A52" s="304"/>
      <c r="B52" s="279"/>
      <c r="C52" s="280" t="str">
        <f>IF(VLOOKUP("GEN-LEVEL",Languages!$A:$D,1,TRUE)="GEN-LEVEL",VLOOKUP("GEN-LEVEL",Languages!$A:$D,Summary!$C$7,TRUE),NA())</f>
        <v>Taso</v>
      </c>
      <c r="D52" s="280"/>
      <c r="E52" s="281" t="str">
        <f>IF(VLOOKUP("GEN-PRACTICE",Languages!$A:$D,1,TRUE)="GEN-PRACTICE",VLOOKUP("GEN-PRACTICE",Languages!$A:$D,Summary!$C$7,TRUE),NA())</f>
        <v>Käytäntö</v>
      </c>
      <c r="F52" s="282"/>
      <c r="G52" s="904" t="str">
        <f>IF(VLOOKUP("GEN-ANSWER",Languages!$A:$D,1,TRUE)="GEN-ANSWER",VLOOKUP("GEN-ANSWER",Languages!$A:$D,Summary!$C$7,TRUE),NA())</f>
        <v>Vastaus</v>
      </c>
      <c r="H52" s="905" t="str">
        <f>IF(VLOOKUP("KM112",Languages!$A:$D,1,TRUE)="KM112",VLOOKUP("KM112",Languages!$A:$D,Summary!$C$7,TRUE),NA())</f>
        <v>Kommentit</v>
      </c>
      <c r="I52" s="905" t="str">
        <f>IF(VLOOKUP("KM113",Languages!$A:$D,1,TRUE)="KM113",VLOOKUP("KM113",Languages!$A:$D,Summary!$C$7,TRUE),NA())</f>
        <v>Sisäinen viittaus</v>
      </c>
      <c r="J52" s="905" t="str">
        <f>IF(VLOOKUP("KM114",Languages!$A:$D,1,TRUE)="KM114",VLOOKUP("KM114",Languages!$A:$D,Summary!$C$7,TRUE),NA())</f>
        <v>Ulkoinen viittaus</v>
      </c>
      <c r="K52" s="905" t="str">
        <f>IF(VLOOKUP("KM115",Languages!$A:$D,1,TRUE)="KM115",VLOOKUP("KM115",Languages!$A:$D,Summary!$C$7,TRUE),NA())</f>
        <v>Kehityskohde</v>
      </c>
      <c r="L52" s="283"/>
      <c r="M52" s="284"/>
      <c r="N52" s="279"/>
      <c r="O52" s="463" t="str">
        <f>IF(VLOOKUP("GEN-ANSWER",Languages!$A:$D,1,TRUE)="GEN-ANSWER",VLOOKUP("GEN-ANSWER",Languages!$A:$D,Summary!$C$7,TRUE),NA())</f>
        <v>Vastaus</v>
      </c>
      <c r="P52" s="463" t="str">
        <f>IF(VLOOKUP("KM112",Languages!$A:$D,1,TRUE)="KM112",VLOOKUP("KM112",Languages!$A:$D,Summary!$C$7,TRUE),NA())</f>
        <v>Kommentit</v>
      </c>
      <c r="Q52" s="463" t="str">
        <f>IF(VLOOKUP("KM113",Languages!$A:$D,1,TRUE)="KM113",VLOOKUP("KM113",Languages!$A:$D,Summary!$C$7,TRUE),NA())</f>
        <v>Sisäinen viittaus</v>
      </c>
      <c r="R52" s="463" t="str">
        <f>IF(VLOOKUP("KM114",Languages!$A:$D,1,TRUE)="KM114",VLOOKUP("KM114",Languages!$A:$D,Summary!$C$7,TRUE),NA())</f>
        <v>Ulkoinen viittaus</v>
      </c>
      <c r="S52" s="463" t="str">
        <f>IF(VLOOKUP("KM115",Languages!$A:$D,1,TRUE)="KM115",VLOOKUP("KM115",Languages!$A:$D,Summary!$C$7,TRUE),NA())</f>
        <v>Kehityskohde</v>
      </c>
      <c r="T52" s="283"/>
      <c r="U52" s="284"/>
    </row>
    <row r="53" spans="1:21" s="296" customFormat="1" ht="34.950000000000003" customHeight="1" x14ac:dyDescent="0.2">
      <c r="A53" s="305"/>
      <c r="B53" s="1199"/>
      <c r="C53" s="523">
        <v>1</v>
      </c>
      <c r="D53" s="399" t="s">
        <v>22</v>
      </c>
      <c r="E53" s="466" t="str">
        <f>IF(VLOOKUP(CONCATENATE($C$3,"-",$D53),Languages!$A:$D,1,TRUE)=CONCATENATE($C$3,"-",$D53),VLOOKUP(CONCATENATE($C$3,"-",$D53),Languages!$A:$D,Summary!$C$7,TRUE),NA())</f>
        <v>Kyberriskit priorisoidaan niiden arvioidun vaikutuksen perusteella. Tasolla 1 tämän ei tarvitse olla systemaattista ja säännöllistä.</v>
      </c>
      <c r="F53" s="391">
        <f t="shared" ref="F53:F59" si="2">IFERROR(INT(LEFT($G53,1)),0)</f>
        <v>0</v>
      </c>
      <c r="G53" s="456" t="s">
        <v>2542</v>
      </c>
      <c r="H53" s="454"/>
      <c r="I53" s="454"/>
      <c r="J53" s="454"/>
      <c r="K53" s="455"/>
      <c r="L53" s="154"/>
      <c r="M53" s="305"/>
      <c r="N53" s="149"/>
      <c r="O53" s="886" t="str">
        <f>VLOOKUP(VLOOKUP($C$3&amp;"-"&amp;$D53,Import!$C:$D,2,FALSE),Parameters!$C$18:$F$22,Summary!$C$7,FALSE)</f>
        <v xml:space="preserve">0 - Vastaus puuttuu </v>
      </c>
      <c r="P53" s="925" t="str">
        <f>IF(VLOOKUP($C$3&amp;"-"&amp;$D53,Import!$C:$H,3,FALSE)=0,"",VLOOKUP($C$3&amp;"-"&amp;$D53,Import!$C:$H,3,FALSE))</f>
        <v/>
      </c>
      <c r="Q53" s="925" t="str">
        <f>IF(VLOOKUP($C$3&amp;"-"&amp;$D53,Import!$C:$H,4,FALSE)=0,"",VLOOKUP($C$3&amp;"-"&amp;$D53,Import!$C:$H,4,FALSE))</f>
        <v/>
      </c>
      <c r="R53" s="925" t="str">
        <f>IF(VLOOKUP($C$3&amp;"-"&amp;$D53,Import!$C:$H,5,FALSE)=0,"",VLOOKUP($C$3&amp;"-"&amp;$D53,Import!$C:$H,5,FALSE))</f>
        <v/>
      </c>
      <c r="S53" s="926" t="str">
        <f>IF(VLOOKUP($C$3&amp;"-"&amp;$D53,Import!$C:$H,6,FALSE)=0,"",VLOOKUP($C$3&amp;"-"&amp;$D53,Import!$C:$H,6,FALSE))</f>
        <v/>
      </c>
      <c r="T53" s="154"/>
      <c r="U53" s="305"/>
    </row>
    <row r="54" spans="1:21" s="296" customFormat="1" ht="45" customHeight="1" x14ac:dyDescent="0.2">
      <c r="A54" s="305"/>
      <c r="B54" s="1199"/>
      <c r="C54" s="1207">
        <v>2</v>
      </c>
      <c r="D54" s="395" t="s">
        <v>23</v>
      </c>
      <c r="E54" s="467" t="str">
        <f>IF(VLOOKUP(CONCATENATE($C$3,"-",$D54),Languages!$A:$D,1,TRUE)=CONCATENATE($C$3,"-",$D54),VLOOKUP(CONCATENATE($C$3,"-",$D54),Languages!$A:$D,Summary!$C$7,TRUE),NA())</f>
        <v>Määriteltyjä kriteerejä käytetään kyberriskien priorisoinnissa (esimerkiksi vaikutus organisaatioon, yhteiskunnallinen vaikutus,  todennäköisyys, alttius, riskinsietokyky).</v>
      </c>
      <c r="F54" s="386">
        <f t="shared" si="2"/>
        <v>0</v>
      </c>
      <c r="G54" s="445" t="s">
        <v>2542</v>
      </c>
      <c r="H54" s="442"/>
      <c r="I54" s="442"/>
      <c r="J54" s="442"/>
      <c r="K54" s="451"/>
      <c r="L54" s="154"/>
      <c r="M54" s="305"/>
      <c r="N54" s="149"/>
      <c r="O54" s="889" t="str">
        <f>VLOOKUP(VLOOKUP($C$3&amp;"-"&amp;$D54,Import!$C:$D,2,FALSE),Parameters!$C$18:$F$22,Summary!$C$7,FALSE)</f>
        <v xml:space="preserve">0 - Vastaus puuttuu </v>
      </c>
      <c r="P54" s="921" t="str">
        <f>IF(VLOOKUP($C$3&amp;"-"&amp;$D54,Import!$C:$H,3,FALSE)=0,"",VLOOKUP($C$3&amp;"-"&amp;$D54,Import!$C:$H,3,FALSE))</f>
        <v/>
      </c>
      <c r="Q54" s="921" t="str">
        <f>IF(VLOOKUP($C$3&amp;"-"&amp;$D54,Import!$C:$H,4,FALSE)=0,"",VLOOKUP($C$3&amp;"-"&amp;$D54,Import!$C:$H,4,FALSE))</f>
        <v/>
      </c>
      <c r="R54" s="921" t="str">
        <f>IF(VLOOKUP($C$3&amp;"-"&amp;$D54,Import!$C:$H,5,FALSE)=0,"",VLOOKUP($C$3&amp;"-"&amp;$D54,Import!$C:$H,5,FALSE))</f>
        <v/>
      </c>
      <c r="S54" s="922" t="str">
        <f>IF(VLOOKUP($C$3&amp;"-"&amp;$D54,Import!$C:$H,6,FALSE)=0,"",VLOOKUP($C$3&amp;"-"&amp;$D54,Import!$C:$H,6,FALSE))</f>
        <v/>
      </c>
      <c r="T54" s="154"/>
      <c r="U54" s="305"/>
    </row>
    <row r="55" spans="1:21" s="296" customFormat="1" ht="64.2" customHeight="1" x14ac:dyDescent="0.2">
      <c r="A55" s="305"/>
      <c r="B55" s="1199"/>
      <c r="C55" s="1212"/>
      <c r="D55" s="294" t="s">
        <v>24</v>
      </c>
      <c r="E55" s="468" t="str">
        <f>IF(VLOOKUP(CONCATENATE($C$3,"-",$D55),Languages!$A:$D,1,TRUE)=CONCATENATE($C$3,"-",$D55),VLOOKUP(CONCATENATE($C$3,"-",$D55),Languages!$A:$D,Summary!$C$7,TRUE),NA())</f>
        <v>Korkean prioriteetin kyberriskien vaikutusta (impact) arvioidaan noudattaen määriteltyjä menetelmiä (esimerkiksi vertaamalla toteutuneisiin tapauksiin tai kvantifioimalla riski).G228</v>
      </c>
      <c r="F55" s="287">
        <f t="shared" si="2"/>
        <v>0</v>
      </c>
      <c r="G55" s="307" t="s">
        <v>2542</v>
      </c>
      <c r="H55" s="443"/>
      <c r="I55" s="443"/>
      <c r="J55" s="443"/>
      <c r="K55" s="452"/>
      <c r="L55" s="154"/>
      <c r="M55" s="305"/>
      <c r="N55" s="149"/>
      <c r="O55" s="892" t="str">
        <f>VLOOKUP(VLOOKUP($C$3&amp;"-"&amp;$D55,Import!$C:$D,2,FALSE),Parameters!$C$18:$F$22,Summary!$C$7,FALSE)</f>
        <v xml:space="preserve">0 - Vastaus puuttuu </v>
      </c>
      <c r="P55" s="916" t="str">
        <f>IF(VLOOKUP($C$3&amp;"-"&amp;$D55,Import!$C:$H,3,FALSE)=0,"",VLOOKUP($C$3&amp;"-"&amp;$D55,Import!$C:$H,3,FALSE))</f>
        <v/>
      </c>
      <c r="Q55" s="916" t="str">
        <f>IF(VLOOKUP($C$3&amp;"-"&amp;$D55,Import!$C:$H,4,FALSE)=0,"",VLOOKUP($C$3&amp;"-"&amp;$D55,Import!$C:$H,4,FALSE))</f>
        <v/>
      </c>
      <c r="R55" s="916" t="str">
        <f>IF(VLOOKUP($C$3&amp;"-"&amp;$D55,Import!$C:$H,5,FALSE)=0,"",VLOOKUP($C$3&amp;"-"&amp;$D55,Import!$C:$H,5,FALSE))</f>
        <v/>
      </c>
      <c r="S55" s="917" t="str">
        <f>IF(VLOOKUP($C$3&amp;"-"&amp;$D55,Import!$C:$H,6,FALSE)=0,"",VLOOKUP($C$3&amp;"-"&amp;$D55,Import!$C:$H,6,FALSE))</f>
        <v/>
      </c>
      <c r="T55" s="154"/>
      <c r="U55" s="305"/>
    </row>
    <row r="56" spans="1:21" s="296" customFormat="1" ht="80.400000000000006" customHeight="1" x14ac:dyDescent="0.2">
      <c r="A56" s="305"/>
      <c r="B56" s="1199"/>
      <c r="C56" s="1212"/>
      <c r="D56" s="294" t="s">
        <v>25</v>
      </c>
      <c r="E56" s="468" t="str">
        <f>IF(VLOOKUP(CONCATENATE($C$3,"-",$D56),Languages!$A:$D,1,TRUE)=CONCATENATE($C$3,"-",$D56),VLOOKUP(CONCATENATE($C$3,"-",$D56),Languages!$A:$D,Summary!$C$7,TRUE),NA())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56" s="287">
        <f t="shared" si="2"/>
        <v>0</v>
      </c>
      <c r="G56" s="307" t="s">
        <v>2542</v>
      </c>
      <c r="H56" s="443"/>
      <c r="I56" s="443"/>
      <c r="J56" s="443"/>
      <c r="K56" s="452"/>
      <c r="L56" s="154"/>
      <c r="M56" s="305"/>
      <c r="N56" s="149"/>
      <c r="O56" s="892" t="str">
        <f>VLOOKUP(VLOOKUP($C$3&amp;"-"&amp;$D56,Import!$C:$D,2,FALSE),Parameters!$C$18:$F$22,Summary!$C$7,FALSE)</f>
        <v xml:space="preserve">0 - Vastaus puuttuu </v>
      </c>
      <c r="P56" s="916" t="str">
        <f>IF(VLOOKUP($C$3&amp;"-"&amp;$D56,Import!$C:$H,3,FALSE)=0,"",VLOOKUP($C$3&amp;"-"&amp;$D56,Import!$C:$H,3,FALSE))</f>
        <v/>
      </c>
      <c r="Q56" s="916" t="str">
        <f>IF(VLOOKUP($C$3&amp;"-"&amp;$D56,Import!$C:$H,4,FALSE)=0,"",VLOOKUP($C$3&amp;"-"&amp;$D56,Import!$C:$H,4,FALSE))</f>
        <v/>
      </c>
      <c r="R56" s="916" t="str">
        <f>IF(VLOOKUP($C$3&amp;"-"&amp;$D56,Import!$C:$H,5,FALSE)=0,"",VLOOKUP($C$3&amp;"-"&amp;$D56,Import!$C:$H,5,FALSE))</f>
        <v/>
      </c>
      <c r="S56" s="917" t="str">
        <f>IF(VLOOKUP($C$3&amp;"-"&amp;$D56,Import!$C:$H,6,FALSE)=0,"",VLOOKUP($C$3&amp;"-"&amp;$D56,Import!$C:$H,6,FALSE))</f>
        <v/>
      </c>
      <c r="T56" s="154"/>
      <c r="U56" s="305"/>
    </row>
    <row r="57" spans="1:21" s="296" customFormat="1" ht="52.8" customHeight="1" x14ac:dyDescent="0.2">
      <c r="A57" s="305"/>
      <c r="B57" s="1199"/>
      <c r="C57" s="1212"/>
      <c r="D57" s="294" t="s">
        <v>26</v>
      </c>
      <c r="E57" s="468" t="str">
        <f>IF(VLOOKUP(CONCATENATE($C$3,"-",$D57),Languages!$A:$D,1,TRUE)=CONCATENATE($C$3,"-",$D57),VLOOKUP(CONCATENATE($C$3,"-",$D57),Languages!$A:$D,Summary!$C$7,TRUE),NA())</f>
        <v>Organisaation sidosryhmät soveltuvista operatiivisen toiminnan ja liiketoiminnan yksiköistä osallistuvat korkeamman prioriteetin kyberriskien analysointiin.</v>
      </c>
      <c r="F57" s="287">
        <f t="shared" si="2"/>
        <v>0</v>
      </c>
      <c r="G57" s="307" t="s">
        <v>2542</v>
      </c>
      <c r="H57" s="443"/>
      <c r="I57" s="443"/>
      <c r="J57" s="443"/>
      <c r="K57" s="452"/>
      <c r="L57" s="154"/>
      <c r="M57" s="305"/>
      <c r="N57" s="149"/>
      <c r="O57" s="892" t="str">
        <f>VLOOKUP(VLOOKUP($C$3&amp;"-"&amp;$D57,Import!$C:$D,2,FALSE),Parameters!$C$18:$F$22,Summary!$C$7,FALSE)</f>
        <v xml:space="preserve">0 - Vastaus puuttuu </v>
      </c>
      <c r="P57" s="916" t="str">
        <f>IF(VLOOKUP($C$3&amp;"-"&amp;$D57,Import!$C:$H,3,FALSE)=0,"",VLOOKUP($C$3&amp;"-"&amp;$D57,Import!$C:$H,3,FALSE))</f>
        <v/>
      </c>
      <c r="Q57" s="916" t="str">
        <f>IF(VLOOKUP($C$3&amp;"-"&amp;$D57,Import!$C:$H,4,FALSE)=0,"",VLOOKUP($C$3&amp;"-"&amp;$D57,Import!$C:$H,4,FALSE))</f>
        <v/>
      </c>
      <c r="R57" s="916" t="str">
        <f>IF(VLOOKUP($C$3&amp;"-"&amp;$D57,Import!$C:$H,5,FALSE)=0,"",VLOOKUP($C$3&amp;"-"&amp;$D57,Import!$C:$H,5,FALSE))</f>
        <v/>
      </c>
      <c r="S57" s="917" t="str">
        <f>IF(VLOOKUP($C$3&amp;"-"&amp;$D57,Import!$C:$H,6,FALSE)=0,"",VLOOKUP($C$3&amp;"-"&amp;$D57,Import!$C:$H,6,FALSE))</f>
        <v/>
      </c>
      <c r="T57" s="154"/>
      <c r="U57" s="305"/>
    </row>
    <row r="58" spans="1:21" s="296" customFormat="1" ht="49.8" customHeight="1" x14ac:dyDescent="0.2">
      <c r="A58" s="305"/>
      <c r="B58" s="1199"/>
      <c r="C58" s="1208"/>
      <c r="D58" s="396" t="s">
        <v>27</v>
      </c>
      <c r="E58" s="474" t="str">
        <f>IF(VLOOKUP(CONCATENATE($C$3,"-",$D58),Languages!$A:$D,1,TRUE)=CONCATENATE($C$3,"-",$D58),VLOOKUP(CONCATENATE($C$3,"-",$D58),Languages!$A:$D,Summary!$C$7,TRUE),NA())</f>
        <v xml:space="preserve">Kun kyberriskit eivät enää vaadi seurantaa tai toimenpiteitä, ne poistetaan riskirekisteristä tai muusta tallennuspaikasta, jota on käytetty riskin dokumentointiin ja hallintaan. </v>
      </c>
      <c r="F58" s="393">
        <f t="shared" si="2"/>
        <v>0</v>
      </c>
      <c r="G58" s="449" t="s">
        <v>2542</v>
      </c>
      <c r="H58" s="444"/>
      <c r="I58" s="444"/>
      <c r="J58" s="444"/>
      <c r="K58" s="453"/>
      <c r="L58" s="154"/>
      <c r="M58" s="305"/>
      <c r="N58" s="149"/>
      <c r="O58" s="897" t="str">
        <f>VLOOKUP(VLOOKUP($C$3&amp;"-"&amp;$D58,Import!$C:$D,2,FALSE),Parameters!$C$18:$F$22,Summary!$C$7,FALSE)</f>
        <v xml:space="preserve">0 - Vastaus puuttuu </v>
      </c>
      <c r="P58" s="923" t="str">
        <f>IF(VLOOKUP($C$3&amp;"-"&amp;$D58,Import!$C:$H,3,FALSE)=0,"",VLOOKUP($C$3&amp;"-"&amp;$D58,Import!$C:$H,3,FALSE))</f>
        <v/>
      </c>
      <c r="Q58" s="923" t="str">
        <f>IF(VLOOKUP($C$3&amp;"-"&amp;$D58,Import!$C:$H,4,FALSE)=0,"",VLOOKUP($C$3&amp;"-"&amp;$D58,Import!$C:$H,4,FALSE))</f>
        <v/>
      </c>
      <c r="R58" s="923" t="str">
        <f>IF(VLOOKUP($C$3&amp;"-"&amp;$D58,Import!$C:$H,5,FALSE)=0,"",VLOOKUP($C$3&amp;"-"&amp;$D58,Import!$C:$H,5,FALSE))</f>
        <v/>
      </c>
      <c r="S58" s="924" t="str">
        <f>IF(VLOOKUP($C$3&amp;"-"&amp;$D58,Import!$C:$H,6,FALSE)=0,"",VLOOKUP($C$3&amp;"-"&amp;$D58,Import!$C:$H,6,FALSE))</f>
        <v/>
      </c>
      <c r="T58" s="154"/>
      <c r="U58" s="305"/>
    </row>
    <row r="59" spans="1:21" s="296" customFormat="1" ht="47.4" customHeight="1" x14ac:dyDescent="0.2">
      <c r="A59" s="305"/>
      <c r="B59" s="1199"/>
      <c r="C59" s="526">
        <v>3</v>
      </c>
      <c r="D59" s="399" t="s">
        <v>28</v>
      </c>
      <c r="E59" s="466" t="str">
        <f>IF(VLOOKUP(CONCATENATE($C$3,"-",$D59),Languages!$A:$D,1,TRUE)=CONCATENATE($C$3,"-",$D59),VLOOKUP(CONCATENATE($C$3,"-",$D59),Languages!$A:$D,Summary!$C$7,TRUE),NA())</f>
        <v xml:space="preserve">Kyberriskianalyysit päivitetään määräajoin ja määriteltyjen tilanteiden kuten järjestelmämuutosten tai ulkoisten tapahtumien yhteydessä.  </v>
      </c>
      <c r="F59" s="391">
        <f t="shared" si="2"/>
        <v>0</v>
      </c>
      <c r="G59" s="456" t="s">
        <v>2542</v>
      </c>
      <c r="H59" s="454"/>
      <c r="I59" s="454"/>
      <c r="J59" s="454"/>
      <c r="K59" s="455"/>
      <c r="L59" s="154"/>
      <c r="M59" s="305"/>
      <c r="N59" s="149"/>
      <c r="O59" s="886" t="str">
        <f>VLOOKUP(VLOOKUP($C$3&amp;"-"&amp;$D59,Import!$C:$D,2,FALSE),Parameters!$C$18:$F$22,Summary!$C$7,FALSE)</f>
        <v xml:space="preserve">0 - Vastaus puuttuu </v>
      </c>
      <c r="P59" s="925" t="str">
        <f>IF(VLOOKUP($C$3&amp;"-"&amp;$D59,Import!$C:$H,3,FALSE)=0,"",VLOOKUP($C$3&amp;"-"&amp;$D59,Import!$C:$H,3,FALSE))</f>
        <v/>
      </c>
      <c r="Q59" s="925" t="str">
        <f>IF(VLOOKUP($C$3&amp;"-"&amp;$D59,Import!$C:$H,4,FALSE)=0,"",VLOOKUP($C$3&amp;"-"&amp;$D59,Import!$C:$H,4,FALSE))</f>
        <v/>
      </c>
      <c r="R59" s="925" t="str">
        <f>IF(VLOOKUP($C$3&amp;"-"&amp;$D59,Import!$C:$H,5,FALSE)=0,"",VLOOKUP($C$3&amp;"-"&amp;$D59,Import!$C:$H,5,FALSE))</f>
        <v/>
      </c>
      <c r="S59" s="926" t="str">
        <f>IF(VLOOKUP($C$3&amp;"-"&amp;$D59,Import!$C:$H,6,FALSE)=0,"",VLOOKUP($C$3&amp;"-"&amp;$D59,Import!$C:$H,6,FALSE))</f>
        <v/>
      </c>
      <c r="T59" s="154"/>
      <c r="U59" s="305"/>
    </row>
    <row r="60" spans="1:21" s="296" customFormat="1" ht="34.950000000000003" customHeight="1" x14ac:dyDescent="0.3">
      <c r="A60" s="305"/>
      <c r="B60" s="269"/>
      <c r="C60" s="270">
        <v>4</v>
      </c>
      <c r="D60" s="270" t="str">
        <f>IF(VLOOKUP(CONCATENATE($C$3,"-",C60),Languages!$A:$D,1,TRUE)=CONCATENATE($C$3,"-",C60),VLOOKUP(CONCATENATE($C$3,"-",C60),Languages!$A:$D,Summary!$C$7,TRUE),NA())</f>
        <v>Riskeihin reagointi</v>
      </c>
      <c r="E60" s="170"/>
      <c r="F60" s="292" t="str">
        <f>IFERROR(INT(LEFT($G60,1)),"")</f>
        <v/>
      </c>
      <c r="G60" s="907"/>
      <c r="H60" s="929"/>
      <c r="I60" s="929"/>
      <c r="J60" s="929"/>
      <c r="K60" s="929"/>
      <c r="L60" s="154"/>
      <c r="M60" s="305"/>
      <c r="N60" s="149"/>
      <c r="O60" s="292"/>
      <c r="P60" s="293"/>
      <c r="Q60" s="293"/>
      <c r="R60" s="293"/>
      <c r="S60" s="293"/>
      <c r="T60" s="154"/>
      <c r="U60" s="305"/>
    </row>
    <row r="61" spans="1:21" s="285" customFormat="1" ht="19.95" customHeight="1" x14ac:dyDescent="0.2">
      <c r="A61" s="304"/>
      <c r="B61" s="279"/>
      <c r="C61" s="280" t="str">
        <f>IF(VLOOKUP("GEN-LEVEL",Languages!$A:$D,1,TRUE)="GEN-LEVEL",VLOOKUP("GEN-LEVEL",Languages!$A:$D,Summary!$C$7,TRUE),NA())</f>
        <v>Taso</v>
      </c>
      <c r="D61" s="280"/>
      <c r="E61" s="281" t="str">
        <f>IF(VLOOKUP("GEN-PRACTICE",Languages!$A:$D,1,TRUE)="GEN-PRACTICE",VLOOKUP("GEN-PRACTICE",Languages!$A:$D,Summary!$C$7,TRUE),NA())</f>
        <v>Käytäntö</v>
      </c>
      <c r="F61" s="282"/>
      <c r="G61" s="904" t="str">
        <f>IF(VLOOKUP("GEN-ANSWER",Languages!$A:$D,1,TRUE)="GEN-ANSWER",VLOOKUP("GEN-ANSWER",Languages!$A:$D,Summary!$C$7,TRUE),NA())</f>
        <v>Vastaus</v>
      </c>
      <c r="H61" s="905" t="str">
        <f>IF(VLOOKUP("KM112",Languages!$A:$D,1,TRUE)="KM112",VLOOKUP("KM112",Languages!$A:$D,Summary!$C$7,TRUE),NA())</f>
        <v>Kommentit</v>
      </c>
      <c r="I61" s="905" t="str">
        <f>IF(VLOOKUP("KM113",Languages!$A:$D,1,TRUE)="KM113",VLOOKUP("KM113",Languages!$A:$D,Summary!$C$7,TRUE),NA())</f>
        <v>Sisäinen viittaus</v>
      </c>
      <c r="J61" s="905" t="str">
        <f>IF(VLOOKUP("KM114",Languages!$A:$D,1,TRUE)="KM114",VLOOKUP("KM114",Languages!$A:$D,Summary!$C$7,TRUE),NA())</f>
        <v>Ulkoinen viittaus</v>
      </c>
      <c r="K61" s="905" t="str">
        <f>IF(VLOOKUP("KM115",Languages!$A:$D,1,TRUE)="KM115",VLOOKUP("KM115",Languages!$A:$D,Summary!$C$7,TRUE),NA())</f>
        <v>Kehityskohde</v>
      </c>
      <c r="L61" s="283"/>
      <c r="M61" s="284"/>
      <c r="N61" s="279"/>
      <c r="O61" s="463" t="str">
        <f>IF(VLOOKUP("GEN-ANSWER",Languages!$A:$D,1,TRUE)="GEN-ANSWER",VLOOKUP("GEN-ANSWER",Languages!$A:$D,Summary!$C$7,TRUE),NA())</f>
        <v>Vastaus</v>
      </c>
      <c r="P61" s="463" t="str">
        <f>IF(VLOOKUP("KM112",Languages!$A:$D,1,TRUE)="KM112",VLOOKUP("KM112",Languages!$A:$D,Summary!$C$7,TRUE),NA())</f>
        <v>Kommentit</v>
      </c>
      <c r="Q61" s="463" t="str">
        <f>IF(VLOOKUP("KM113",Languages!$A:$D,1,TRUE)="KM113",VLOOKUP("KM113",Languages!$A:$D,Summary!$C$7,TRUE),NA())</f>
        <v>Sisäinen viittaus</v>
      </c>
      <c r="R61" s="463" t="str">
        <f>IF(VLOOKUP("KM114",Languages!$A:$D,1,TRUE)="KM114",VLOOKUP("KM114",Languages!$A:$D,Summary!$C$7,TRUE),NA())</f>
        <v>Ulkoinen viittaus</v>
      </c>
      <c r="S61" s="463" t="str">
        <f>IF(VLOOKUP("KM115",Languages!$A:$D,1,TRUE)="KM115",VLOOKUP("KM115",Languages!$A:$D,Summary!$C$7,TRUE),NA())</f>
        <v>Kehityskohde</v>
      </c>
      <c r="T61" s="283"/>
      <c r="U61" s="284"/>
    </row>
    <row r="62" spans="1:21" s="296" customFormat="1" ht="67.2" customHeight="1" x14ac:dyDescent="0.2">
      <c r="A62" s="305"/>
      <c r="B62" s="1199"/>
      <c r="C62" s="523">
        <v>1</v>
      </c>
      <c r="D62" s="399" t="s">
        <v>117</v>
      </c>
      <c r="E62" s="466" t="str">
        <f>IF(VLOOKUP(CONCATENATE($C$3,"-",$D62),Languages!$A:$D,1,TRUE)=CONCATENATE($C$3,"-",$D62),VLOOKUP(CONCATENATE($C$3,"-",$D62),Languages!$A:$D,Summary!$C$7,TRUE),NA())</f>
        <v>Riskeihin reagointikeinot (kuten riskin pienentäminen, hyväksyminen, välttäminen tai siirtäminen) ovat käytössä kyberriskeille. Tasolla 1 tämän ei tarvitse olla systemaattista ja säännöllistä.</v>
      </c>
      <c r="F62" s="391">
        <f>IFERROR(INT(LEFT($G62,1)),0)</f>
        <v>0</v>
      </c>
      <c r="G62" s="456" t="s">
        <v>2542</v>
      </c>
      <c r="H62" s="454"/>
      <c r="I62" s="454"/>
      <c r="J62" s="454"/>
      <c r="K62" s="455"/>
      <c r="L62" s="154"/>
      <c r="M62" s="305"/>
      <c r="N62" s="149"/>
      <c r="O62" s="886" t="str">
        <f>VLOOKUP(VLOOKUP($C$3&amp;"-"&amp;$D62,Import!$C:$D,2,FALSE),Parameters!$C$18:$F$22,Summary!$C$7,FALSE)</f>
        <v xml:space="preserve">0 - Vastaus puuttuu </v>
      </c>
      <c r="P62" s="925" t="str">
        <f>IF(VLOOKUP($C$3&amp;"-"&amp;$D62,Import!$C:$H,3,FALSE)=0,"",VLOOKUP($C$3&amp;"-"&amp;$D62,Import!$C:$H,3,FALSE))</f>
        <v/>
      </c>
      <c r="Q62" s="925" t="str">
        <f>IF(VLOOKUP($C$3&amp;"-"&amp;$D62,Import!$C:$H,4,FALSE)=0,"",VLOOKUP($C$3&amp;"-"&amp;$D62,Import!$C:$H,4,FALSE))</f>
        <v/>
      </c>
      <c r="R62" s="925" t="str">
        <f>IF(VLOOKUP($C$3&amp;"-"&amp;$D62,Import!$C:$H,5,FALSE)=0,"",VLOOKUP($C$3&amp;"-"&amp;$D62,Import!$C:$H,5,FALSE))</f>
        <v/>
      </c>
      <c r="S62" s="926" t="str">
        <f>IF(VLOOKUP($C$3&amp;"-"&amp;$D62,Import!$C:$H,6,FALSE)=0,"",VLOOKUP($C$3&amp;"-"&amp;$D62,Import!$C:$H,6,FALSE))</f>
        <v/>
      </c>
      <c r="T62" s="154"/>
      <c r="U62" s="305"/>
    </row>
    <row r="63" spans="1:21" s="296" customFormat="1" ht="43.2" customHeight="1" x14ac:dyDescent="0.2">
      <c r="A63" s="305"/>
      <c r="B63" s="1199"/>
      <c r="C63" s="525">
        <v>2</v>
      </c>
      <c r="D63" s="399" t="s">
        <v>120</v>
      </c>
      <c r="E63" s="466" t="str">
        <f>IF(VLOOKUP(CONCATENATE($C$3,"-",$D63),Languages!$A:$D,1,TRUE)=CONCATENATE($C$3,"-",$D63),VLOOKUP(CONCATENATE($C$3,"-",$D63),Languages!$A:$D,Summary!$C$7,TRUE),NA())</f>
        <v>Riskeihin reagoimisen keinot valitaan ja toteutetaan noudattaen määriteltyjä menetelmiä, jotka pohjautuvat analysointiin ja priorisointiin.</v>
      </c>
      <c r="F63" s="391">
        <f>IFERROR(INT(LEFT($G63,1)),0)</f>
        <v>0</v>
      </c>
      <c r="G63" s="456" t="s">
        <v>2542</v>
      </c>
      <c r="H63" s="454"/>
      <c r="I63" s="454"/>
      <c r="J63" s="454"/>
      <c r="K63" s="455"/>
      <c r="L63" s="154"/>
      <c r="M63" s="305"/>
      <c r="N63" s="149"/>
      <c r="O63" s="886" t="str">
        <f>VLOOKUP(VLOOKUP($C$3&amp;"-"&amp;$D63,Import!$C:$D,2,FALSE),Parameters!$C$18:$F$22,Summary!$C$7,FALSE)</f>
        <v xml:space="preserve">0 - Vastaus puuttuu </v>
      </c>
      <c r="P63" s="925" t="str">
        <f>IF(VLOOKUP($C$3&amp;"-"&amp;$D63,Import!$C:$H,3,FALSE)=0,"",VLOOKUP($C$3&amp;"-"&amp;$D63,Import!$C:$H,3,FALSE))</f>
        <v/>
      </c>
      <c r="Q63" s="925" t="str">
        <f>IF(VLOOKUP($C$3&amp;"-"&amp;$D63,Import!$C:$H,4,FALSE)=0,"",VLOOKUP($C$3&amp;"-"&amp;$D63,Import!$C:$H,4,FALSE))</f>
        <v/>
      </c>
      <c r="R63" s="925" t="str">
        <f>IF(VLOOKUP($C$3&amp;"-"&amp;$D63,Import!$C:$H,5,FALSE)=0,"",VLOOKUP($C$3&amp;"-"&amp;$D63,Import!$C:$H,5,FALSE))</f>
        <v/>
      </c>
      <c r="S63" s="926" t="str">
        <f>IF(VLOOKUP($C$3&amp;"-"&amp;$D63,Import!$C:$H,6,FALSE)=0,"",VLOOKUP($C$3&amp;"-"&amp;$D63,Import!$C:$H,6,FALSE))</f>
        <v/>
      </c>
      <c r="T63" s="154"/>
      <c r="U63" s="305"/>
    </row>
    <row r="64" spans="1:21" s="296" customFormat="1" ht="45" customHeight="1" x14ac:dyDescent="0.2">
      <c r="A64" s="305"/>
      <c r="B64" s="1199"/>
      <c r="C64" s="1209">
        <v>3</v>
      </c>
      <c r="D64" s="395" t="s">
        <v>123</v>
      </c>
      <c r="E64" s="467" t="str">
        <f>IF(VLOOKUP(CONCATENATE($C$3,"-",$D64),Languages!$A:$D,1,TRUE)=CONCATENATE($C$3,"-",$D64),VLOOKUP(CONCATENATE($C$3,"-",$D64),Languages!$A:$D,Summary!$C$7,TRUE),NA())</f>
        <v>Kyberturvallisuuden suojausmekanismien suunnittelun onnistumista ja niiden tosiasiallista vaikutusta kyberriskien pienenemiseen arvioidaan.</v>
      </c>
      <c r="F64" s="386">
        <f>IFERROR(INT(LEFT($G64,1)),0)</f>
        <v>0</v>
      </c>
      <c r="G64" s="445" t="s">
        <v>2542</v>
      </c>
      <c r="H64" s="442"/>
      <c r="I64" s="442"/>
      <c r="J64" s="442"/>
      <c r="K64" s="451"/>
      <c r="L64" s="154"/>
      <c r="M64" s="305"/>
      <c r="N64" s="149"/>
      <c r="O64" s="889" t="str">
        <f>VLOOKUP(VLOOKUP($C$3&amp;"-"&amp;$D64,Import!$C:$D,2,FALSE),Parameters!$C$18:$F$22,Summary!$C$7,FALSE)</f>
        <v xml:space="preserve">0 - Vastaus puuttuu </v>
      </c>
      <c r="P64" s="921" t="str">
        <f>IF(VLOOKUP($C$3&amp;"-"&amp;$D64,Import!$C:$H,3,FALSE)=0,"",VLOOKUP($C$3&amp;"-"&amp;$D64,Import!$C:$H,3,FALSE))</f>
        <v/>
      </c>
      <c r="Q64" s="921" t="str">
        <f>IF(VLOOKUP($C$3&amp;"-"&amp;$D64,Import!$C:$H,4,FALSE)=0,"",VLOOKUP($C$3&amp;"-"&amp;$D64,Import!$C:$H,4,FALSE))</f>
        <v/>
      </c>
      <c r="R64" s="921" t="str">
        <f>IF(VLOOKUP($C$3&amp;"-"&amp;$D64,Import!$C:$H,5,FALSE)=0,"",VLOOKUP($C$3&amp;"-"&amp;$D64,Import!$C:$H,5,FALSE))</f>
        <v/>
      </c>
      <c r="S64" s="922" t="str">
        <f>IF(VLOOKUP($C$3&amp;"-"&amp;$D64,Import!$C:$H,6,FALSE)=0,"",VLOOKUP($C$3&amp;"-"&amp;$D64,Import!$C:$H,6,FALSE))</f>
        <v/>
      </c>
      <c r="T64" s="154"/>
      <c r="U64" s="305"/>
    </row>
    <row r="65" spans="1:21" s="296" customFormat="1" ht="60" customHeight="1" x14ac:dyDescent="0.2">
      <c r="A65" s="305"/>
      <c r="B65" s="1199"/>
      <c r="C65" s="1210"/>
      <c r="D65" s="294" t="s">
        <v>126</v>
      </c>
      <c r="E65" s="468" t="str">
        <f>IF(VLOOKUP(CONCATENATE($C$3,"-",$D65),Languages!$A:$D,1,TRUE)=CONCATENATE($C$3,"-",$D65),VLOOKUP(CONCATENATE($C$3,"-",$D65),Languages!$A:$D,Summary!$C$7,TRUE),NA())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F65" s="287">
        <f>IFERROR(INT(LEFT($G65,1)),0)</f>
        <v>0</v>
      </c>
      <c r="G65" s="307" t="s">
        <v>2542</v>
      </c>
      <c r="H65" s="443"/>
      <c r="I65" s="443"/>
      <c r="J65" s="443"/>
      <c r="K65" s="452"/>
      <c r="L65" s="154"/>
      <c r="M65" s="305"/>
      <c r="N65" s="149"/>
      <c r="O65" s="892" t="str">
        <f>VLOOKUP(VLOOKUP($C$3&amp;"-"&amp;$D65,Import!$C:$D,2,FALSE),Parameters!$C$18:$F$22,Summary!$C$7,FALSE)</f>
        <v xml:space="preserve">0 - Vastaus puuttuu </v>
      </c>
      <c r="P65" s="916" t="str">
        <f>IF(VLOOKUP($C$3&amp;"-"&amp;$D65,Import!$C:$H,3,FALSE)=0,"",VLOOKUP($C$3&amp;"-"&amp;$D65,Import!$C:$H,3,FALSE))</f>
        <v/>
      </c>
      <c r="Q65" s="916" t="str">
        <f>IF(VLOOKUP($C$3&amp;"-"&amp;$D65,Import!$C:$H,4,FALSE)=0,"",VLOOKUP($C$3&amp;"-"&amp;$D65,Import!$C:$H,4,FALSE))</f>
        <v/>
      </c>
      <c r="R65" s="916" t="str">
        <f>IF(VLOOKUP($C$3&amp;"-"&amp;$D65,Import!$C:$H,5,FALSE)=0,"",VLOOKUP($C$3&amp;"-"&amp;$D65,Import!$C:$H,5,FALSE))</f>
        <v/>
      </c>
      <c r="S65" s="917" t="str">
        <f>IF(VLOOKUP($C$3&amp;"-"&amp;$D65,Import!$C:$H,6,FALSE)=0,"",VLOOKUP($C$3&amp;"-"&amp;$D65,Import!$C:$H,6,FALSE))</f>
        <v/>
      </c>
      <c r="T65" s="154"/>
      <c r="U65" s="305"/>
    </row>
    <row r="66" spans="1:21" s="296" customFormat="1" ht="45" customHeight="1" x14ac:dyDescent="0.2">
      <c r="A66" s="305"/>
      <c r="B66" s="383"/>
      <c r="C66" s="1211"/>
      <c r="D66" s="396" t="s">
        <v>129</v>
      </c>
      <c r="E66" s="474" t="str">
        <f>IF(VLOOKUP(CONCATENATE($C$3,"-",$D66),Languages!$A:$D,1,TRUE)=CONCATENATE($C$3,"-",$D66),VLOOKUP(CONCATENATE($C$3,"-",$D66),Languages!$A:$D,Summary!$C$7,TRUE),NA())</f>
        <v>Yritysjohto tarkastaa riskeihin reagoimisen keinot (kuten riskin pienentäminen, hyväksyminen, välttäminen tai siirtäminen) aika ajoin varmistuakseen niiden soveltuvuudesta.</v>
      </c>
      <c r="F66" s="393">
        <f>IFERROR(INT(LEFT($G66,1)),0)</f>
        <v>0</v>
      </c>
      <c r="G66" s="449" t="s">
        <v>2542</v>
      </c>
      <c r="H66" s="444"/>
      <c r="I66" s="444"/>
      <c r="J66" s="444"/>
      <c r="K66" s="453"/>
      <c r="L66" s="154"/>
      <c r="M66" s="305"/>
      <c r="N66" s="149"/>
      <c r="O66" s="897" t="str">
        <f>VLOOKUP(VLOOKUP($C$3&amp;"-"&amp;$D66,Import!$C:$D,2,FALSE),Parameters!$C$18:$F$22,Summary!$C$7,FALSE)</f>
        <v xml:space="preserve">0 - Vastaus puuttuu </v>
      </c>
      <c r="P66" s="923" t="str">
        <f>IF(VLOOKUP($C$3&amp;"-"&amp;$D66,Import!$C:$H,3,FALSE)=0,"",VLOOKUP($C$3&amp;"-"&amp;$D66,Import!$C:$H,3,FALSE))</f>
        <v/>
      </c>
      <c r="Q66" s="923" t="str">
        <f>IF(VLOOKUP($C$3&amp;"-"&amp;$D66,Import!$C:$H,4,FALSE)=0,"",VLOOKUP($C$3&amp;"-"&amp;$D66,Import!$C:$H,4,FALSE))</f>
        <v/>
      </c>
      <c r="R66" s="923" t="str">
        <f>IF(VLOOKUP($C$3&amp;"-"&amp;$D66,Import!$C:$H,5,FALSE)=0,"",VLOOKUP($C$3&amp;"-"&amp;$D66,Import!$C:$H,5,FALSE))</f>
        <v/>
      </c>
      <c r="S66" s="924" t="str">
        <f>IF(VLOOKUP($C$3&amp;"-"&amp;$D66,Import!$C:$H,6,FALSE)=0,"",VLOOKUP($C$3&amp;"-"&amp;$D66,Import!$C:$H,6,FALSE))</f>
        <v/>
      </c>
      <c r="T66" s="154"/>
      <c r="U66" s="305"/>
    </row>
    <row r="67" spans="1:21" s="296" customFormat="1" ht="34.950000000000003" customHeight="1" x14ac:dyDescent="0.3">
      <c r="A67" s="305"/>
      <c r="B67" s="269"/>
      <c r="C67" s="270">
        <v>5</v>
      </c>
      <c r="D67" s="270" t="str">
        <f>IF(VLOOKUP(CONCATENATE($C$3,"-",C67),Languages!$A:$D,1,TRUE)=CONCATENATE($C$3,"-",C67),VLOOKUP(CONCATENATE($C$3,"-",C67),Languages!$A:$D,Summary!$C$7,TRUE),NA())</f>
        <v>Yleisiä hallintatoimia</v>
      </c>
      <c r="E67" s="170"/>
      <c r="F67" s="292" t="str">
        <f>IFERROR(INT(LEFT($G67,1)),"")</f>
        <v/>
      </c>
      <c r="G67" s="907"/>
      <c r="H67" s="929"/>
      <c r="I67" s="929"/>
      <c r="J67" s="929"/>
      <c r="K67" s="929"/>
      <c r="L67" s="154"/>
      <c r="M67" s="305"/>
      <c r="N67" s="149"/>
      <c r="O67" s="292"/>
      <c r="P67" s="293"/>
      <c r="Q67" s="293"/>
      <c r="R67" s="293"/>
      <c r="S67" s="293"/>
      <c r="T67" s="154"/>
      <c r="U67" s="305"/>
    </row>
    <row r="68" spans="1:21" s="285" customFormat="1" ht="19.95" customHeight="1" x14ac:dyDescent="0.2">
      <c r="A68" s="304"/>
      <c r="B68" s="279"/>
      <c r="C68" s="280" t="str">
        <f>IF(VLOOKUP("GEN-LEVEL",Languages!$A:$D,1,TRUE)="GEN-LEVEL",VLOOKUP("GEN-LEVEL",Languages!$A:$D,Summary!$C$7,TRUE),NA())</f>
        <v>Taso</v>
      </c>
      <c r="D68" s="280"/>
      <c r="E68" s="281" t="str">
        <f>IF(VLOOKUP("GEN-PRACTICE",Languages!$A:$D,1,TRUE)="GEN-PRACTICE",VLOOKUP("GEN-PRACTICE",Languages!$A:$D,Summary!$C$7,TRUE),NA())</f>
        <v>Käytäntö</v>
      </c>
      <c r="F68" s="282"/>
      <c r="G68" s="904" t="str">
        <f>IF(VLOOKUP("GEN-ANSWER",Languages!$A:$D,1,TRUE)="GEN-ANSWER",VLOOKUP("GEN-ANSWER",Languages!$A:$D,Summary!$C$7,TRUE),NA())</f>
        <v>Vastaus</v>
      </c>
      <c r="H68" s="905" t="str">
        <f>IF(VLOOKUP("KM112",Languages!$A:$D,1,TRUE)="KM112",VLOOKUP("KM112",Languages!$A:$D,Summary!$C$7,TRUE),NA())</f>
        <v>Kommentit</v>
      </c>
      <c r="I68" s="905" t="str">
        <f>IF(VLOOKUP("KM113",Languages!$A:$D,1,TRUE)="KM113",VLOOKUP("KM113",Languages!$A:$D,Summary!$C$7,TRUE),NA())</f>
        <v>Sisäinen viittaus</v>
      </c>
      <c r="J68" s="905" t="str">
        <f>IF(VLOOKUP("KM114",Languages!$A:$D,1,TRUE)="KM114",VLOOKUP("KM114",Languages!$A:$D,Summary!$C$7,TRUE),NA())</f>
        <v>Ulkoinen viittaus</v>
      </c>
      <c r="K68" s="905" t="str">
        <f>IF(VLOOKUP("KM115",Languages!$A:$D,1,TRUE)="KM115",VLOOKUP("KM115",Languages!$A:$D,Summary!$C$7,TRUE),NA())</f>
        <v>Kehityskohde</v>
      </c>
      <c r="L68" s="283"/>
      <c r="M68" s="284"/>
      <c r="N68" s="279"/>
      <c r="O68" s="463" t="str">
        <f>IF(VLOOKUP("GEN-ANSWER",Languages!$A:$D,1,TRUE)="GEN-ANSWER",VLOOKUP("GEN-ANSWER",Languages!$A:$D,Summary!$C$7,TRUE),NA())</f>
        <v>Vastaus</v>
      </c>
      <c r="P68" s="463" t="str">
        <f>IF(VLOOKUP("KM112",Languages!$A:$D,1,TRUE)="KM112",VLOOKUP("KM112",Languages!$A:$D,Summary!$C$7,TRUE),NA())</f>
        <v>Kommentit</v>
      </c>
      <c r="Q68" s="463" t="str">
        <f>IF(VLOOKUP("KM113",Languages!$A:$D,1,TRUE)="KM113",VLOOKUP("KM113",Languages!$A:$D,Summary!$C$7,TRUE),NA())</f>
        <v>Sisäinen viittaus</v>
      </c>
      <c r="R68" s="463" t="str">
        <f>IF(VLOOKUP("KM114",Languages!$A:$D,1,TRUE)="KM114",VLOOKUP("KM114",Languages!$A:$D,Summary!$C$7,TRUE),NA())</f>
        <v>Ulkoinen viittaus</v>
      </c>
      <c r="S68" s="463" t="str">
        <f>IF(VLOOKUP("KM115",Languages!$A:$D,1,TRUE)="KM115",VLOOKUP("KM115",Languages!$A:$D,Summary!$C$7,TRUE),NA())</f>
        <v>Kehityskohde</v>
      </c>
      <c r="T68" s="283"/>
      <c r="U68" s="284"/>
    </row>
    <row r="69" spans="1:21" s="296" customFormat="1" ht="19.95" customHeight="1" x14ac:dyDescent="0.2">
      <c r="A69" s="305"/>
      <c r="B69" s="314"/>
      <c r="C69" s="457">
        <v>1</v>
      </c>
      <c r="D69" s="408"/>
      <c r="E69" s="409"/>
      <c r="F69" s="411"/>
      <c r="G69" s="939"/>
      <c r="H69" s="940"/>
      <c r="I69" s="940"/>
      <c r="J69" s="940"/>
      <c r="K69" s="941"/>
      <c r="L69" s="154"/>
      <c r="M69" s="305"/>
      <c r="N69" s="149"/>
      <c r="O69" s="518"/>
      <c r="P69" s="410"/>
      <c r="Q69" s="410"/>
      <c r="R69" s="410"/>
      <c r="S69" s="412"/>
      <c r="T69" s="154"/>
      <c r="U69" s="305"/>
    </row>
    <row r="70" spans="1:21" s="296" customFormat="1" ht="34.950000000000003" customHeight="1" x14ac:dyDescent="0.2">
      <c r="A70" s="305"/>
      <c r="B70" s="1199"/>
      <c r="C70" s="1207">
        <v>2</v>
      </c>
      <c r="D70" s="395" t="s">
        <v>134</v>
      </c>
      <c r="E70" s="467" t="str">
        <f>IF(VLOOKUP(CONCATENATE($C$3,"-",$D70),Languages!$A:$D,1,TRUE)=CONCATENATE($C$3,"-",$D70),VLOOKUP(CONCATENATE($C$3,"-",$D70),Languages!$A:$D,Summary!$C$7,TRUE),NA())</f>
        <v>RISK-osion toimintaa varten on määritetty dokumentoidut toimintatavat, joita noudatetaan ja päivitetään säännöllisesti.</v>
      </c>
      <c r="F70" s="386">
        <f t="shared" ref="F70:F75" si="3">IFERROR(INT(LEFT($G70,1)),0)</f>
        <v>0</v>
      </c>
      <c r="G70" s="445" t="s">
        <v>2542</v>
      </c>
      <c r="H70" s="442"/>
      <c r="I70" s="442"/>
      <c r="J70" s="442"/>
      <c r="K70" s="451"/>
      <c r="L70" s="154"/>
      <c r="M70" s="305"/>
      <c r="N70" s="149"/>
      <c r="O70" s="889" t="str">
        <f>VLOOKUP(VLOOKUP($C$3&amp;"-"&amp;$D70,Import!$C:$D,2,FALSE),Parameters!$C$18:$F$22,Summary!$C$7,FALSE)</f>
        <v xml:space="preserve">0 - Vastaus puuttuu </v>
      </c>
      <c r="P70" s="921" t="str">
        <f>IF(VLOOKUP($C$3&amp;"-"&amp;$D70,Import!$C:$H,3,FALSE)=0,"",VLOOKUP($C$3&amp;"-"&amp;$D70,Import!$C:$H,3,FALSE))</f>
        <v/>
      </c>
      <c r="Q70" s="921" t="str">
        <f>IF(VLOOKUP($C$3&amp;"-"&amp;$D70,Import!$C:$H,4,FALSE)=0,"",VLOOKUP($C$3&amp;"-"&amp;$D70,Import!$C:$H,4,FALSE))</f>
        <v/>
      </c>
      <c r="R70" s="921" t="str">
        <f>IF(VLOOKUP($C$3&amp;"-"&amp;$D70,Import!$C:$H,5,FALSE)=0,"",VLOOKUP($C$3&amp;"-"&amp;$D70,Import!$C:$H,5,FALSE))</f>
        <v/>
      </c>
      <c r="S70" s="922" t="str">
        <f>IF(VLOOKUP($C$3&amp;"-"&amp;$D70,Import!$C:$H,6,FALSE)=0,"",VLOOKUP($C$3&amp;"-"&amp;$D70,Import!$C:$H,6,FALSE))</f>
        <v/>
      </c>
      <c r="T70" s="154"/>
      <c r="U70" s="305"/>
    </row>
    <row r="71" spans="1:21" s="296" customFormat="1" ht="34.950000000000003" customHeight="1" x14ac:dyDescent="0.2">
      <c r="A71" s="305"/>
      <c r="B71" s="1199"/>
      <c r="C71" s="1208"/>
      <c r="D71" s="396" t="s">
        <v>137</v>
      </c>
      <c r="E71" s="474" t="str">
        <f>IF(VLOOKUP(CONCATENATE($C$3,"-",$D71),Languages!$A:$D,1,TRUE)=CONCATENATE($C$3,"-",$D71),VLOOKUP(CONCATENATE($C$3,"-",$D71),Languages!$A:$D,Summary!$C$7,TRUE),NA())</f>
        <v>RISK-osion toimintaa varten on tarjolla riittävät resurssit (henkilöstö, rahoitus ja työkalut).</v>
      </c>
      <c r="F71" s="393">
        <f t="shared" si="3"/>
        <v>0</v>
      </c>
      <c r="G71" s="449" t="s">
        <v>2542</v>
      </c>
      <c r="H71" s="444"/>
      <c r="I71" s="444"/>
      <c r="J71" s="444"/>
      <c r="K71" s="453"/>
      <c r="L71" s="154"/>
      <c r="M71" s="305"/>
      <c r="N71" s="149"/>
      <c r="O71" s="897" t="str">
        <f>VLOOKUP(VLOOKUP($C$3&amp;"-"&amp;$D71,Import!$C:$D,2,FALSE),Parameters!$C$18:$F$22,Summary!$C$7,FALSE)</f>
        <v xml:space="preserve">0 - Vastaus puuttuu </v>
      </c>
      <c r="P71" s="923" t="str">
        <f>IF(VLOOKUP($C$3&amp;"-"&amp;$D71,Import!$C:$H,3,FALSE)=0,"",VLOOKUP($C$3&amp;"-"&amp;$D71,Import!$C:$H,3,FALSE))</f>
        <v/>
      </c>
      <c r="Q71" s="923" t="str">
        <f>IF(VLOOKUP($C$3&amp;"-"&amp;$D71,Import!$C:$H,4,FALSE)=0,"",VLOOKUP($C$3&amp;"-"&amp;$D71,Import!$C:$H,4,FALSE))</f>
        <v/>
      </c>
      <c r="R71" s="923" t="str">
        <f>IF(VLOOKUP($C$3&amp;"-"&amp;$D71,Import!$C:$H,5,FALSE)=0,"",VLOOKUP($C$3&amp;"-"&amp;$D71,Import!$C:$H,5,FALSE))</f>
        <v/>
      </c>
      <c r="S71" s="924" t="str">
        <f>IF(VLOOKUP($C$3&amp;"-"&amp;$D71,Import!$C:$H,6,FALSE)=0,"",VLOOKUP($C$3&amp;"-"&amp;$D71,Import!$C:$H,6,FALSE))</f>
        <v/>
      </c>
      <c r="T71" s="154"/>
      <c r="U71" s="305"/>
    </row>
    <row r="72" spans="1:21" s="296" customFormat="1" ht="44.4" customHeight="1" x14ac:dyDescent="0.2">
      <c r="A72" s="305"/>
      <c r="B72" s="1199"/>
      <c r="C72" s="1209">
        <v>3</v>
      </c>
      <c r="D72" s="395" t="s">
        <v>140</v>
      </c>
      <c r="E72" s="467" t="str">
        <f>IF(VLOOKUP(CONCATENATE($C$3,"-",$D72),Languages!$A:$D,1,TRUE)=CONCATENATE($C$3,"-",$D72),VLOOKUP(CONCATENATE($C$3,"-",$D72),Languages!$A:$D,Summary!$C$7,TRUE),NA())</f>
        <v>RISK-osion toimintaa ohjataan vaatimuksilla, jotka on asetettu organisaation johtotason politiikassa (tai vastaavassa ohjeistuksessa).</v>
      </c>
      <c r="F72" s="386">
        <f t="shared" si="3"/>
        <v>0</v>
      </c>
      <c r="G72" s="445" t="s">
        <v>2542</v>
      </c>
      <c r="H72" s="442"/>
      <c r="I72" s="442"/>
      <c r="J72" s="442"/>
      <c r="K72" s="451"/>
      <c r="L72" s="154"/>
      <c r="M72" s="305"/>
      <c r="N72" s="149"/>
      <c r="O72" s="889" t="str">
        <f>VLOOKUP(VLOOKUP($C$3&amp;"-"&amp;$D72,Import!$C:$D,2,FALSE),Parameters!$C$18:$F$22,Summary!$C$7,FALSE)</f>
        <v xml:space="preserve">0 - Vastaus puuttuu </v>
      </c>
      <c r="P72" s="921" t="str">
        <f>IF(VLOOKUP($C$3&amp;"-"&amp;$D72,Import!$C:$H,3,FALSE)=0,"",VLOOKUP($C$3&amp;"-"&amp;$D72,Import!$C:$H,3,FALSE))</f>
        <v/>
      </c>
      <c r="Q72" s="921" t="str">
        <f>IF(VLOOKUP($C$3&amp;"-"&amp;$D72,Import!$C:$H,4,FALSE)=0,"",VLOOKUP($C$3&amp;"-"&amp;$D72,Import!$C:$H,4,FALSE))</f>
        <v/>
      </c>
      <c r="R72" s="921" t="str">
        <f>IF(VLOOKUP($C$3&amp;"-"&amp;$D72,Import!$C:$H,5,FALSE)=0,"",VLOOKUP($C$3&amp;"-"&amp;$D72,Import!$C:$H,5,FALSE))</f>
        <v/>
      </c>
      <c r="S72" s="922" t="str">
        <f>IF(VLOOKUP($C$3&amp;"-"&amp;$D72,Import!$C:$H,6,FALSE)=0,"",VLOOKUP($C$3&amp;"-"&amp;$D72,Import!$C:$H,6,FALSE))</f>
        <v/>
      </c>
      <c r="T72" s="154"/>
      <c r="U72" s="305"/>
    </row>
    <row r="73" spans="1:21" s="296" customFormat="1" ht="34.950000000000003" customHeight="1" x14ac:dyDescent="0.2">
      <c r="A73" s="305"/>
      <c r="B73" s="1199"/>
      <c r="C73" s="1210"/>
      <c r="D73" s="294" t="s">
        <v>142</v>
      </c>
      <c r="E73" s="468" t="str">
        <f>IF(VLOOKUP(CONCATENATE($C$3,"-",$D73),Languages!$A:$D,1,TRUE)=CONCATENATE($C$3,"-",$D73),VLOOKUP(CONCATENATE($C$3,"-",$D73),Languages!$A:$D,Summary!$C$7,TRUE),NA())</f>
        <v>RISK-osion toiminnan suorittamiseen tarvittavat vastuut, tilivelvollisuudet ja valtuutukset on jalkautettu soveltuville työntekijöille.</v>
      </c>
      <c r="F73" s="287">
        <f t="shared" si="3"/>
        <v>0</v>
      </c>
      <c r="G73" s="307" t="s">
        <v>2542</v>
      </c>
      <c r="H73" s="443"/>
      <c r="I73" s="443"/>
      <c r="J73" s="443"/>
      <c r="K73" s="452"/>
      <c r="L73" s="154"/>
      <c r="M73" s="305"/>
      <c r="N73" s="149"/>
      <c r="O73" s="892" t="str">
        <f>VLOOKUP(VLOOKUP($C$3&amp;"-"&amp;$D73,Import!$C:$D,2,FALSE),Parameters!$C$18:$F$22,Summary!$C$7,FALSE)</f>
        <v xml:space="preserve">0 - Vastaus puuttuu </v>
      </c>
      <c r="P73" s="916" t="str">
        <f>IF(VLOOKUP($C$3&amp;"-"&amp;$D73,Import!$C:$H,3,FALSE)=0,"",VLOOKUP($C$3&amp;"-"&amp;$D73,Import!$C:$H,3,FALSE))</f>
        <v/>
      </c>
      <c r="Q73" s="916" t="str">
        <f>IF(VLOOKUP($C$3&amp;"-"&amp;$D73,Import!$C:$H,4,FALSE)=0,"",VLOOKUP($C$3&amp;"-"&amp;$D73,Import!$C:$H,4,FALSE))</f>
        <v/>
      </c>
      <c r="R73" s="916" t="str">
        <f>IF(VLOOKUP($C$3&amp;"-"&amp;$D73,Import!$C:$H,5,FALSE)=0,"",VLOOKUP($C$3&amp;"-"&amp;$D73,Import!$C:$H,5,FALSE))</f>
        <v/>
      </c>
      <c r="S73" s="917" t="str">
        <f>IF(VLOOKUP($C$3&amp;"-"&amp;$D73,Import!$C:$H,6,FALSE)=0,"",VLOOKUP($C$3&amp;"-"&amp;$D73,Import!$C:$H,6,FALSE))</f>
        <v/>
      </c>
      <c r="T73" s="154"/>
      <c r="U73" s="305"/>
    </row>
    <row r="74" spans="1:21" s="296" customFormat="1" ht="40.799999999999997" customHeight="1" x14ac:dyDescent="0.2">
      <c r="A74" s="305"/>
      <c r="B74" s="1199"/>
      <c r="C74" s="1210"/>
      <c r="D74" s="294" t="s">
        <v>144</v>
      </c>
      <c r="E74" s="468" t="str">
        <f>IF(VLOOKUP(CONCATENATE($C$3,"-",$D74),Languages!$A:$D,1,TRUE)=CONCATENATE($C$3,"-",$D74),VLOOKUP(CONCATENATE($C$3,"-",$D74),Languages!$A:$D,Summary!$C$7,TRUE),NA())</f>
        <v>RISK-osion toimintaa suorittavilla työntekijöillä on riittävät tiedot ja taidot tehtäviensä suorittamiseen.</v>
      </c>
      <c r="F74" s="287">
        <f t="shared" si="3"/>
        <v>0</v>
      </c>
      <c r="G74" s="307" t="s">
        <v>2542</v>
      </c>
      <c r="H74" s="443"/>
      <c r="I74" s="443"/>
      <c r="J74" s="443"/>
      <c r="K74" s="452"/>
      <c r="L74" s="154"/>
      <c r="M74" s="305"/>
      <c r="N74" s="149"/>
      <c r="O74" s="892" t="str">
        <f>VLOOKUP(VLOOKUP($C$3&amp;"-"&amp;$D74,Import!$C:$D,2,FALSE),Parameters!$C$18:$F$22,Summary!$C$7,FALSE)</f>
        <v xml:space="preserve">0 - Vastaus puuttuu </v>
      </c>
      <c r="P74" s="916" t="str">
        <f>IF(VLOOKUP($C$3&amp;"-"&amp;$D74,Import!$C:$H,3,FALSE)=0,"",VLOOKUP($C$3&amp;"-"&amp;$D74,Import!$C:$H,3,FALSE))</f>
        <v/>
      </c>
      <c r="Q74" s="916" t="str">
        <f>IF(VLOOKUP($C$3&amp;"-"&amp;$D74,Import!$C:$H,4,FALSE)=0,"",VLOOKUP($C$3&amp;"-"&amp;$D74,Import!$C:$H,4,FALSE))</f>
        <v/>
      </c>
      <c r="R74" s="916" t="str">
        <f>IF(VLOOKUP($C$3&amp;"-"&amp;$D74,Import!$C:$H,5,FALSE)=0,"",VLOOKUP($C$3&amp;"-"&amp;$D74,Import!$C:$H,5,FALSE))</f>
        <v/>
      </c>
      <c r="S74" s="917" t="str">
        <f>IF(VLOOKUP($C$3&amp;"-"&amp;$D74,Import!$C:$H,6,FALSE)=0,"",VLOOKUP($C$3&amp;"-"&amp;$D74,Import!$C:$H,6,FALSE))</f>
        <v/>
      </c>
      <c r="T74" s="154"/>
      <c r="U74" s="305"/>
    </row>
    <row r="75" spans="1:21" s="296" customFormat="1" ht="42.6" customHeight="1" x14ac:dyDescent="0.2">
      <c r="A75" s="305"/>
      <c r="B75" s="1199"/>
      <c r="C75" s="1211"/>
      <c r="D75" s="396" t="s">
        <v>146</v>
      </c>
      <c r="E75" s="474" t="str">
        <f>IF(VLOOKUP(CONCATENATE($C$3,"-",$D75),Languages!$A:$D,1,TRUE)=CONCATENATE($C$3,"-",$D75),VLOOKUP(CONCATENATE($C$3,"-",$D75),Languages!$A:$D,Summary!$C$7,TRUE),NA())</f>
        <v>RISK-osion toiminnan vaikuttavuutta arvioidaan ja seurataan.</v>
      </c>
      <c r="F75" s="393">
        <f t="shared" si="3"/>
        <v>0</v>
      </c>
      <c r="G75" s="449" t="s">
        <v>2542</v>
      </c>
      <c r="H75" s="444"/>
      <c r="I75" s="444"/>
      <c r="J75" s="444"/>
      <c r="K75" s="453"/>
      <c r="L75" s="154"/>
      <c r="M75" s="305"/>
      <c r="N75" s="149"/>
      <c r="O75" s="897" t="str">
        <f>VLOOKUP(VLOOKUP($C$3&amp;"-"&amp;$D75,Import!$C:$D,2,FALSE),Parameters!$C$18:$F$22,Summary!$C$7,FALSE)</f>
        <v xml:space="preserve">0 - Vastaus puuttuu </v>
      </c>
      <c r="P75" s="923" t="str">
        <f>IF(VLOOKUP($C$3&amp;"-"&amp;$D75,Import!$C:$H,3,FALSE)=0,"",VLOOKUP($C$3&amp;"-"&amp;$D75,Import!$C:$H,3,FALSE))</f>
        <v/>
      </c>
      <c r="Q75" s="923" t="str">
        <f>IF(VLOOKUP($C$3&amp;"-"&amp;$D75,Import!$C:$H,4,FALSE)=0,"",VLOOKUP($C$3&amp;"-"&amp;$D75,Import!$C:$H,4,FALSE))</f>
        <v/>
      </c>
      <c r="R75" s="923" t="str">
        <f>IF(VLOOKUP($C$3&amp;"-"&amp;$D75,Import!$C:$H,5,FALSE)=0,"",VLOOKUP($C$3&amp;"-"&amp;$D75,Import!$C:$H,5,FALSE))</f>
        <v/>
      </c>
      <c r="S75" s="924" t="str">
        <f>IF(VLOOKUP($C$3&amp;"-"&amp;$D75,Import!$C:$H,6,FALSE)=0,"",VLOOKUP($C$3&amp;"-"&amp;$D75,Import!$C:$H,6,FALSE))</f>
        <v/>
      </c>
      <c r="T75" s="154"/>
      <c r="U75" s="305"/>
    </row>
    <row r="76" spans="1:21" ht="11.4" x14ac:dyDescent="0.2">
      <c r="A76" s="236"/>
      <c r="B76" s="237"/>
      <c r="C76" s="298"/>
      <c r="D76" s="238"/>
      <c r="E76" s="239"/>
      <c r="F76" s="241"/>
      <c r="G76" s="242"/>
      <c r="H76" s="299"/>
      <c r="I76" s="299"/>
      <c r="J76" s="299"/>
      <c r="K76" s="299"/>
      <c r="L76" s="154"/>
      <c r="M76" s="236"/>
      <c r="N76" s="149"/>
      <c r="O76" s="242"/>
      <c r="P76" s="299"/>
      <c r="Q76" s="299"/>
      <c r="R76" s="299"/>
      <c r="S76" s="299"/>
      <c r="T76" s="154"/>
      <c r="U76" s="236"/>
    </row>
    <row r="77" spans="1:21" ht="11.4" x14ac:dyDescent="0.25">
      <c r="A77" s="236"/>
      <c r="B77" s="236"/>
      <c r="C77" s="236"/>
      <c r="D77" s="236"/>
      <c r="E77" s="236"/>
      <c r="F77" s="245"/>
      <c r="G77" s="236"/>
      <c r="H77" s="236"/>
      <c r="I77" s="236"/>
      <c r="J77" s="236"/>
      <c r="K77" s="236"/>
      <c r="L77" s="500"/>
      <c r="M77" s="236"/>
      <c r="N77" s="500"/>
      <c r="O77" s="236"/>
      <c r="P77" s="236"/>
      <c r="Q77" s="236"/>
      <c r="R77" s="236"/>
      <c r="S77" s="236"/>
      <c r="T77" s="500"/>
      <c r="U77" s="236"/>
    </row>
  </sheetData>
  <sheetProtection sheet="1" formatCells="0" formatColumns="0" formatRows="0"/>
  <mergeCells count="51">
    <mergeCell ref="O21:O22"/>
    <mergeCell ref="P21:P22"/>
    <mergeCell ref="Q21:Q22"/>
    <mergeCell ref="R21:R22"/>
    <mergeCell ref="S21:S22"/>
    <mergeCell ref="O19:O20"/>
    <mergeCell ref="P19:P20"/>
    <mergeCell ref="Q19:Q20"/>
    <mergeCell ref="R19:R20"/>
    <mergeCell ref="S19:S20"/>
    <mergeCell ref="O17:O18"/>
    <mergeCell ref="P17:P18"/>
    <mergeCell ref="Q17:Q18"/>
    <mergeCell ref="R17:R18"/>
    <mergeCell ref="S17:S18"/>
    <mergeCell ref="O15:O16"/>
    <mergeCell ref="P15:P16"/>
    <mergeCell ref="Q15:Q16"/>
    <mergeCell ref="R15:R16"/>
    <mergeCell ref="S15:S16"/>
    <mergeCell ref="C6:K6"/>
    <mergeCell ref="C13:K13"/>
    <mergeCell ref="B53:B56"/>
    <mergeCell ref="B57:B59"/>
    <mergeCell ref="B40:B42"/>
    <mergeCell ref="B38:B39"/>
    <mergeCell ref="I8:J8"/>
    <mergeCell ref="I10:J11"/>
    <mergeCell ref="C29:C33"/>
    <mergeCell ref="C34:C35"/>
    <mergeCell ref="O3:S11"/>
    <mergeCell ref="O13:O14"/>
    <mergeCell ref="P13:P14"/>
    <mergeCell ref="Q13:Q14"/>
    <mergeCell ref="R13:R14"/>
    <mergeCell ref="S13:S14"/>
    <mergeCell ref="B74:B75"/>
    <mergeCell ref="B70:B73"/>
    <mergeCell ref="C70:C71"/>
    <mergeCell ref="C72:C75"/>
    <mergeCell ref="C15:K15"/>
    <mergeCell ref="C17:K17"/>
    <mergeCell ref="C19:K19"/>
    <mergeCell ref="C21:K21"/>
    <mergeCell ref="C39:C44"/>
    <mergeCell ref="B28:B29"/>
    <mergeCell ref="C64:C66"/>
    <mergeCell ref="C54:C58"/>
    <mergeCell ref="C45:C50"/>
    <mergeCell ref="B30:B35"/>
    <mergeCell ref="B62:B65"/>
  </mergeCells>
  <conditionalFormatting sqref="F51 F76:F1048576 F4:F5 F12 F7:F9 F38:F42 F53:F60 F62:F66 F28:F36">
    <cfRule type="containsText" dxfId="214" priority="45" operator="containsText" text="0">
      <formula>NOT(ISERROR(SEARCH("0",F4)))</formula>
    </cfRule>
  </conditionalFormatting>
  <conditionalFormatting sqref="F67 F69:F75">
    <cfRule type="containsText" dxfId="213" priority="37" operator="containsText" text="0">
      <formula>NOT(ISERROR(SEARCH("0",F67)))</formula>
    </cfRule>
  </conditionalFormatting>
  <conditionalFormatting sqref="F45:F48">
    <cfRule type="containsText" dxfId="212" priority="35" operator="containsText" text="0">
      <formula>NOT(ISERROR(SEARCH("0",F45)))</formula>
    </cfRule>
  </conditionalFormatting>
  <conditionalFormatting sqref="F43:F44">
    <cfRule type="containsText" dxfId="211" priority="29" operator="containsText" text="0">
      <formula>NOT(ISERROR(SEARCH("0",F43)))</formula>
    </cfRule>
  </conditionalFormatting>
  <conditionalFormatting sqref="F49:F50">
    <cfRule type="containsText" dxfId="210" priority="31" operator="containsText" text="0">
      <formula>NOT(ISERROR(SEARCH("0",F49)))</formula>
    </cfRule>
  </conditionalFormatting>
  <conditionalFormatting sqref="F10">
    <cfRule type="containsText" dxfId="209" priority="27" operator="containsText" text="0">
      <formula>NOT(ISERROR(SEARCH("0",F10)))</formula>
    </cfRule>
  </conditionalFormatting>
  <conditionalFormatting sqref="F11">
    <cfRule type="containsText" dxfId="208" priority="25" operator="containsText" text="0">
      <formula>NOT(ISERROR(SEARCH("0",F11)))</formula>
    </cfRule>
  </conditionalFormatting>
  <conditionalFormatting sqref="F1 F3">
    <cfRule type="containsText" dxfId="207" priority="22" operator="containsText" text="0">
      <formula>NOT(ISERROR(SEARCH("0",F1)))</formula>
    </cfRule>
  </conditionalFormatting>
  <conditionalFormatting sqref="F2">
    <cfRule type="containsText" dxfId="206" priority="21" operator="containsText" text="0">
      <formula>NOT(ISERROR(SEARCH("0",F2)))</formula>
    </cfRule>
  </conditionalFormatting>
  <conditionalFormatting sqref="F68">
    <cfRule type="containsText" dxfId="205" priority="19" operator="containsText" text="0">
      <formula>NOT(ISERROR(SEARCH("0",F68)))</formula>
    </cfRule>
  </conditionalFormatting>
  <conditionalFormatting sqref="F61">
    <cfRule type="containsText" dxfId="204" priority="17" operator="containsText" text="0">
      <formula>NOT(ISERROR(SEARCH("0",F61)))</formula>
    </cfRule>
  </conditionalFormatting>
  <conditionalFormatting sqref="F52">
    <cfRule type="containsText" dxfId="203" priority="15" operator="containsText" text="0">
      <formula>NOT(ISERROR(SEARCH("0",F52)))</formula>
    </cfRule>
  </conditionalFormatting>
  <conditionalFormatting sqref="F37">
    <cfRule type="containsText" dxfId="202" priority="13" operator="containsText" text="0">
      <formula>NOT(ISERROR(SEARCH("0",F37)))</formula>
    </cfRule>
  </conditionalFormatting>
  <conditionalFormatting sqref="F27">
    <cfRule type="containsText" dxfId="201" priority="11" operator="containsText" text="0">
      <formula>NOT(ISERROR(SEARCH("0",F27)))</formula>
    </cfRule>
  </conditionalFormatting>
  <conditionalFormatting sqref="F14">
    <cfRule type="containsText" dxfId="200" priority="9" operator="containsText" text="0">
      <formula>NOT(ISERROR(SEARCH("0",F14)))</formula>
    </cfRule>
  </conditionalFormatting>
  <conditionalFormatting sqref="F16">
    <cfRule type="containsText" dxfId="199" priority="7" operator="containsText" text="0">
      <formula>NOT(ISERROR(SEARCH("0",F16)))</formula>
    </cfRule>
  </conditionalFormatting>
  <conditionalFormatting sqref="F18">
    <cfRule type="containsText" dxfId="198" priority="5" operator="containsText" text="0">
      <formula>NOT(ISERROR(SEARCH("0",F18)))</formula>
    </cfRule>
  </conditionalFormatting>
  <conditionalFormatting sqref="F20">
    <cfRule type="containsText" dxfId="197" priority="3" operator="containsText" text="0">
      <formula>NOT(ISERROR(SEARCH("0",F20)))</formula>
    </cfRule>
  </conditionalFormatting>
  <conditionalFormatting sqref="F26">
    <cfRule type="containsText" dxfId="196" priority="1" operator="containsText" text="0">
      <formula>NOT(ISERROR(SEARCH("0",F26)))</formula>
    </cfRule>
  </conditionalFormatting>
  <pageMargins left="0.70866141732283472" right="0.70866141732283472" top="0.74803149606299213" bottom="0.74803149606299213" header="0.31496062992125984" footer="0.31496062992125984"/>
  <pageSetup paperSize="9" scale="40" orientation="portrait" r:id="rId1"/>
  <rowBreaks count="1" manualBreakCount="1">
    <brk id="50" max="16383" man="1"/>
  </rowBreaks>
  <colBreaks count="1" manualBreakCount="1">
    <brk id="13" max="1048575" man="1"/>
  </colBreaks>
  <ignoredErrors>
    <ignoredError sqref="O28:S32 O38:S50 O53:S59 O62:S66 O70:S75"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46" id="{1B4C1B6A-AFFB-4548-A42F-B5B084DA096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F76:F1048576 F4:F5 F51 F12 F7:F9 F38:F42 F53:F59 F28:F36</xm:sqref>
        </x14:conditionalFormatting>
        <x14:conditionalFormatting xmlns:xm="http://schemas.microsoft.com/office/excel/2006/main">
          <x14:cfRule type="iconSet" priority="36" id="{3BD889C3-D35A-41D1-B5F5-58C9352E5FA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F45:F48</xm:sqref>
        </x14:conditionalFormatting>
        <x14:conditionalFormatting xmlns:xm="http://schemas.microsoft.com/office/excel/2006/main">
          <x14:cfRule type="iconSet" priority="494" id="{FBA19C6C-270B-4B9E-92BE-4844864DB3E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F62:F66 F60</xm:sqref>
        </x14:conditionalFormatting>
        <x14:conditionalFormatting xmlns:xm="http://schemas.microsoft.com/office/excel/2006/main">
          <x14:cfRule type="iconSet" priority="497" id="{A5D7A63A-A652-43E7-9EC1-38687BE94FB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F69:F75 F67</xm:sqref>
        </x14:conditionalFormatting>
        <x14:conditionalFormatting xmlns:xm="http://schemas.microsoft.com/office/excel/2006/main">
          <x14:cfRule type="iconSet" priority="32" id="{19C367E7-BCB2-4C89-A987-4A456EC3B1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F49:F50</xm:sqref>
        </x14:conditionalFormatting>
        <x14:conditionalFormatting xmlns:xm="http://schemas.microsoft.com/office/excel/2006/main">
          <x14:cfRule type="iconSet" priority="30" id="{F99E76B3-D0AB-4385-96D7-D8181D57B5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F43:F44</xm:sqref>
        </x14:conditionalFormatting>
        <x14:conditionalFormatting xmlns:xm="http://schemas.microsoft.com/office/excel/2006/main">
          <x14:cfRule type="iconSet" priority="28" id="{FB271108-10CF-4B63-B628-C554252F8E9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F10</xm:sqref>
        </x14:conditionalFormatting>
        <x14:conditionalFormatting xmlns:xm="http://schemas.microsoft.com/office/excel/2006/main">
          <x14:cfRule type="iconSet" priority="26" id="{0C516176-D181-441C-AB5B-3AF5759F820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F11</xm:sqref>
        </x14:conditionalFormatting>
        <x14:conditionalFormatting xmlns:xm="http://schemas.microsoft.com/office/excel/2006/main">
          <x14:cfRule type="iconSet" priority="23" id="{08084180-A813-4241-8F37-CEBCA3F271D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FF532336-23F6-4E11-9F6E-211CF1DCB35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12D0E783-20DC-4D4D-AEF7-25D24F302EB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F68</xm:sqref>
        </x14:conditionalFormatting>
        <x14:conditionalFormatting xmlns:xm="http://schemas.microsoft.com/office/excel/2006/main">
          <x14:cfRule type="iconSet" priority="18" id="{FA357AC6-D66A-4EFB-91A0-CE2D0FCEEC8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F61</xm:sqref>
        </x14:conditionalFormatting>
        <x14:conditionalFormatting xmlns:xm="http://schemas.microsoft.com/office/excel/2006/main">
          <x14:cfRule type="iconSet" priority="16" id="{4CDA4D82-089D-4488-B33D-14D2572FC63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F52</xm:sqref>
        </x14:conditionalFormatting>
        <x14:conditionalFormatting xmlns:xm="http://schemas.microsoft.com/office/excel/2006/main">
          <x14:cfRule type="iconSet" priority="14" id="{EAE220EF-7431-4A77-B021-28049C9E5D9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F37</xm:sqref>
        </x14:conditionalFormatting>
        <x14:conditionalFormatting xmlns:xm="http://schemas.microsoft.com/office/excel/2006/main">
          <x14:cfRule type="iconSet" priority="12" id="{3706D362-2EA7-46A5-AAF8-5041DFBAC68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F27</xm:sqref>
        </x14:conditionalFormatting>
        <x14:conditionalFormatting xmlns:xm="http://schemas.microsoft.com/office/excel/2006/main">
          <x14:cfRule type="iconSet" priority="10" id="{6C17B77A-28A3-4442-BF83-ADD222E5705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9367A216-FA39-491D-B8E4-51F1380E59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AF2BF8AF-848C-43E6-A188-762C27F8DB5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F278E659-AB91-4894-9218-4C26C5D6F5B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AC4B6D86-51BF-4AF5-B93F-72DE2C7AB0A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Parameters!$B$18:$B$22</xm:f>
          </x14:formula1>
          <xm:sqref>G28:G35 G53:G59 G62:G66 G70:G75 G38:G50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2" tint="0.79998168889431442"/>
  </sheetPr>
  <dimension ref="A1:U81"/>
  <sheetViews>
    <sheetView showGridLines="0" zoomScale="80" zoomScaleNormal="8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632812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799"/>
      <c r="O2" s="800"/>
      <c r="P2" s="800"/>
      <c r="Q2" s="800"/>
      <c r="R2" s="800"/>
      <c r="S2" s="800"/>
      <c r="T2" s="801"/>
      <c r="U2" s="252"/>
    </row>
    <row r="3" spans="1:21" s="257" customFormat="1" ht="25.05" customHeight="1" x14ac:dyDescent="0.25">
      <c r="A3" s="252"/>
      <c r="B3" s="149"/>
      <c r="C3" s="150" t="s">
        <v>59</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02"/>
      <c r="O3" s="1184" t="str">
        <f>VLOOKUP($C$3,Infoimport!$B$4:$C$14,2,FALSE)</f>
        <v xml:space="preserve">ACCESS, tiedot Infoimport-välilehdeltä
</v>
      </c>
      <c r="P3" s="1184"/>
      <c r="Q3" s="1184"/>
      <c r="R3" s="1184"/>
      <c r="S3" s="1184"/>
      <c r="T3" s="803"/>
      <c r="U3" s="252"/>
    </row>
    <row r="4" spans="1:21" s="318" customFormat="1" ht="25.05" customHeight="1" x14ac:dyDescent="0.3">
      <c r="A4" s="316"/>
      <c r="B4" s="317"/>
      <c r="C4" s="155" t="str">
        <f>IF(VLOOKUP($C$3,Languages!$A:$D,1,TRUE)=$C$3,VLOOKUP($C$3,Languages!$A:$D,Summary!$C$7,TRUE),NA())</f>
        <v>Identiteetin- ja pääsynhallinta (ACCESS)</v>
      </c>
      <c r="D4" s="258"/>
      <c r="E4" s="259"/>
      <c r="F4" s="320"/>
      <c r="G4" s="319"/>
      <c r="H4" s="261" t="str">
        <f ca="1">VLOOKUP(VLOOKUP(CONCATENATE($C$3),Data!$K:$O,5,FALSE),Parameters!$C$7:$F$10,Summary!$C$7,FALSE)</f>
        <v>Kypsyystaso 0</v>
      </c>
      <c r="I4" s="697"/>
      <c r="J4" s="262"/>
      <c r="K4" s="148"/>
      <c r="L4" s="154"/>
      <c r="M4" s="252"/>
      <c r="N4" s="802"/>
      <c r="O4" s="1184"/>
      <c r="P4" s="1184"/>
      <c r="Q4" s="1184"/>
      <c r="R4" s="1184"/>
      <c r="S4" s="1184"/>
      <c r="T4" s="803"/>
      <c r="U4" s="252"/>
    </row>
    <row r="5" spans="1:21" ht="10.050000000000001" customHeight="1" x14ac:dyDescent="0.25">
      <c r="A5" s="178"/>
      <c r="B5" s="308"/>
      <c r="C5" s="321"/>
      <c r="D5" s="322"/>
      <c r="E5" s="322"/>
      <c r="F5" s="261"/>
      <c r="G5" s="261"/>
      <c r="H5" s="797"/>
      <c r="I5" s="262"/>
      <c r="J5" s="262"/>
      <c r="K5" s="148"/>
      <c r="L5" s="154"/>
      <c r="M5" s="252"/>
      <c r="N5" s="802"/>
      <c r="O5" s="1184"/>
      <c r="P5" s="1184"/>
      <c r="Q5" s="1184"/>
      <c r="R5" s="1184"/>
      <c r="S5" s="1184"/>
      <c r="T5" s="803"/>
      <c r="U5" s="252"/>
    </row>
    <row r="6" spans="1:21" ht="90" customHeight="1" x14ac:dyDescent="0.2">
      <c r="A6" s="178"/>
      <c r="B6" s="308"/>
      <c r="C6" s="1204" t="str">
        <f>IF(VLOOKUP(CONCATENATE(C3,"-0"),Languages!$A:$D,1,TRUE)=CONCATENATE(C3,"-0"),VLOOKUP(CONCATENATE(C3,"-0"),Languages!$A:$D,Summary!$C$7,TRUE),NA())</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D6" s="1204"/>
      <c r="E6" s="1204"/>
      <c r="F6" s="1204"/>
      <c r="G6" s="1204"/>
      <c r="H6" s="1204"/>
      <c r="I6" s="1204"/>
      <c r="J6" s="1204"/>
      <c r="K6" s="1204"/>
      <c r="L6" s="154"/>
      <c r="M6" s="252"/>
      <c r="N6" s="802"/>
      <c r="O6" s="1184"/>
      <c r="P6" s="1184"/>
      <c r="Q6" s="1184"/>
      <c r="R6" s="1184"/>
      <c r="S6" s="1184"/>
      <c r="T6" s="803"/>
      <c r="U6" s="252"/>
    </row>
    <row r="7" spans="1:21" ht="14.4" customHeight="1" x14ac:dyDescent="0.2">
      <c r="A7" s="178"/>
      <c r="B7" s="308"/>
      <c r="C7" s="264">
        <v>1</v>
      </c>
      <c r="D7" s="265" t="s">
        <v>1</v>
      </c>
      <c r="E7" s="266" t="str">
        <f>IF(VLOOKUP(CONCATENATE($C$3,"-",C7),Languages!$A:$D,1,TRUE)=CONCATENATE($C$3,"-",C7),VLOOKUP(CONCATENATE($C$3,"-",C7),Languages!$A:$D,Summary!$C$7,TRUE),NA())</f>
        <v>Identiteettien luominen ja hallinta</v>
      </c>
      <c r="H7" s="267" t="str">
        <f ca="1">VLOOKUP(VLOOKUP(CONCATENATE($C$3,"-",$C7),Data!$K:$O,5,FALSE),Parameters!$C$7:$F$10,Summary!$C$7,FALSE)</f>
        <v>Kypsyystaso 0</v>
      </c>
      <c r="I7" s="465" t="str">
        <f>IF(VLOOKUP("KM110",Languages!$A:$D,1,TRUE)="KM110",VLOOKUP("KM110",Languages!$A:$D,Summary!$C$7,TRUE),NA())</f>
        <v>Päivämäärä</v>
      </c>
      <c r="J7" s="439"/>
      <c r="K7" s="148"/>
      <c r="L7" s="154"/>
      <c r="M7" s="252"/>
      <c r="N7" s="802"/>
      <c r="O7" s="1184"/>
      <c r="P7" s="1184"/>
      <c r="Q7" s="1184"/>
      <c r="R7" s="1184"/>
      <c r="S7" s="1184"/>
      <c r="T7" s="803"/>
      <c r="U7" s="252"/>
    </row>
    <row r="8" spans="1:21" ht="14.4" customHeight="1" x14ac:dyDescent="0.25">
      <c r="A8" s="178"/>
      <c r="B8" s="308"/>
      <c r="C8" s="264">
        <v>2</v>
      </c>
      <c r="D8" s="265" t="s">
        <v>1</v>
      </c>
      <c r="E8" s="266" t="str">
        <f>IF(VLOOKUP(CONCATENATE($C$3,"-",C8),Languages!$A:$D,1,TRUE)=CONCATENATE($C$3,"-",C8),VLOOKUP(CONCATENATE($C$3,"-",C8),Languages!$A:$D,Summary!$C$7,TRUE),NA())</f>
        <v>Loogisten käyttöoikeuksien hallinta</v>
      </c>
      <c r="F8" s="324"/>
      <c r="H8" s="267" t="str">
        <f ca="1">VLOOKUP(VLOOKUP(CONCATENATE($C$3,"-",$C8),Data!$K:$O,5,FALSE),Parameters!$C$7:$F$10,Summary!$C$7,FALSE)</f>
        <v>Kypsyystaso 0</v>
      </c>
      <c r="I8" s="1213"/>
      <c r="J8" s="1206"/>
      <c r="K8" s="148"/>
      <c r="L8" s="154"/>
      <c r="M8" s="252"/>
      <c r="N8" s="802"/>
      <c r="O8" s="1184"/>
      <c r="P8" s="1184"/>
      <c r="Q8" s="1184"/>
      <c r="R8" s="1184"/>
      <c r="S8" s="1184"/>
      <c r="T8" s="803"/>
      <c r="U8" s="252"/>
    </row>
    <row r="9" spans="1:21" ht="14.4" customHeight="1" x14ac:dyDescent="0.2">
      <c r="A9" s="178"/>
      <c r="B9" s="308"/>
      <c r="C9" s="264">
        <v>3</v>
      </c>
      <c r="D9" s="265" t="s">
        <v>1</v>
      </c>
      <c r="E9" s="266" t="str">
        <f>IF(VLOOKUP(CONCATENATE($C$3,"-",C9),Languages!$A:$D,1,TRUE)=CONCATENATE($C$3,"-",C9),VLOOKUP(CONCATENATE($C$3,"-",C9),Languages!$A:$D,Summary!$C$7,TRUE),NA())</f>
        <v>Fyysinen pääsynhallinta</v>
      </c>
      <c r="F9" s="325"/>
      <c r="H9" s="267" t="str">
        <f ca="1">VLOOKUP(VLOOKUP(CONCATENATE($C$3,"-",$C9),Data!$K:$O,5,FALSE),Parameters!$C$7:$F$10,Summary!$C$7,FALSE)</f>
        <v>Kypsyystaso 0</v>
      </c>
      <c r="I9" s="465" t="str">
        <f>IF(VLOOKUP("KM111",Languages!$A:$D,1,TRUE)="KM111",VLOOKUP("KM111",Languages!$A:$D,Summary!$C$7,TRUE),NA())</f>
        <v>Osallistujat</v>
      </c>
      <c r="J9" s="439"/>
      <c r="K9" s="148"/>
      <c r="L9" s="154"/>
      <c r="M9" s="252"/>
      <c r="N9" s="802"/>
      <c r="O9" s="1184"/>
      <c r="P9" s="1184"/>
      <c r="Q9" s="1184"/>
      <c r="R9" s="1184"/>
      <c r="S9" s="1184"/>
      <c r="T9" s="803"/>
      <c r="U9" s="252"/>
    </row>
    <row r="10" spans="1:21" ht="14.4" customHeight="1" x14ac:dyDescent="0.2">
      <c r="A10" s="178"/>
      <c r="B10" s="308"/>
      <c r="C10" s="264">
        <v>4</v>
      </c>
      <c r="D10" s="265" t="s">
        <v>1</v>
      </c>
      <c r="E10" s="266" t="str">
        <f>IF(VLOOKUP(CONCATENATE($C$3,"-",C10),Languages!$A:$D,1,TRUE)=CONCATENATE($C$3,"-",C10),VLOOKUP(CONCATENATE($C$3,"-",C10),Languages!$A:$D,Summary!$C$7,TRUE),NA())</f>
        <v>Yleisiä hallintatoimia</v>
      </c>
      <c r="F10" s="325"/>
      <c r="H10" s="267" t="str">
        <f ca="1">VLOOKUP(VLOOKUP(CONCATENATE($C$3,"-",$C10),Data!$K:$O,5,FALSE),Parameters!$C$7:$F$10,Summary!$C$7,FALSE)</f>
        <v>Kypsyystaso 1</v>
      </c>
      <c r="I10" s="1194"/>
      <c r="J10" s="1195"/>
      <c r="K10" s="148"/>
      <c r="L10" s="154"/>
      <c r="M10" s="252"/>
      <c r="N10" s="802"/>
      <c r="O10" s="1184"/>
      <c r="P10" s="1184"/>
      <c r="Q10" s="1184"/>
      <c r="R10" s="1184"/>
      <c r="S10" s="1184"/>
      <c r="T10" s="803"/>
      <c r="U10" s="252"/>
    </row>
    <row r="11" spans="1:21" ht="14.4" customHeight="1" x14ac:dyDescent="0.2">
      <c r="A11" s="178"/>
      <c r="B11" s="308"/>
      <c r="C11" s="264"/>
      <c r="D11" s="265"/>
      <c r="E11" s="266"/>
      <c r="F11" s="325"/>
      <c r="H11" s="267"/>
      <c r="I11" s="1196"/>
      <c r="J11" s="1197"/>
      <c r="K11" s="148"/>
      <c r="L11" s="154"/>
      <c r="M11" s="252"/>
      <c r="N11" s="802"/>
      <c r="O11" s="1184"/>
      <c r="P11" s="1184"/>
      <c r="Q11" s="1184"/>
      <c r="R11" s="1184"/>
      <c r="S11" s="1184"/>
      <c r="T11" s="803"/>
      <c r="U11" s="252"/>
    </row>
    <row r="12" spans="1:21" s="177" customFormat="1" ht="30" customHeight="1" x14ac:dyDescent="0.25">
      <c r="A12" s="166"/>
      <c r="B12" s="269"/>
      <c r="C12" s="170">
        <v>1</v>
      </c>
      <c r="D12" s="170" t="str">
        <f>IF(VLOOKUP(CONCATENATE($C$3,"-",C12),Languages!$A:$D,1,TRUE)=CONCATENATE($C$3,"-",C12),VLOOKUP(CONCATENATE($C$3,"-",C12),Languages!$A:$D,Summary!$C$7,TRUE),NA())</f>
        <v>Identiteettien luominen ja hallinta</v>
      </c>
      <c r="E12" s="170"/>
      <c r="F12" s="271"/>
      <c r="G12" s="271"/>
      <c r="H12" s="272"/>
      <c r="I12" s="272"/>
      <c r="J12" s="272"/>
      <c r="K12" s="272"/>
      <c r="L12" s="154"/>
      <c r="M12" s="252"/>
      <c r="N12" s="802"/>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03"/>
      <c r="U12" s="252"/>
    </row>
    <row r="13" spans="1:21" s="278" customFormat="1" ht="49.95" customHeight="1" x14ac:dyDescent="0.2">
      <c r="A13" s="275"/>
      <c r="B13" s="276"/>
      <c r="C13" s="1216" t="str">
        <f>IF(VLOOKUP(CONCATENATE($C$3,"-",$C12,"-0"),Languages!$A:$D,1,TRUE)=CONCATENATE($C$3,"-",$C12,"-0"),VLOOKUP(CONCATENATE($C$3,"-",$C12,"-0"),Languages!$A:$D,Summary!$C$7,TRUE),NA())</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D13" s="1216"/>
      <c r="E13" s="1216"/>
      <c r="F13" s="1216"/>
      <c r="G13" s="1216"/>
      <c r="H13" s="1216"/>
      <c r="I13" s="1216"/>
      <c r="J13" s="1216"/>
      <c r="K13" s="1216"/>
      <c r="L13" s="154"/>
      <c r="M13" s="252"/>
      <c r="N13" s="802"/>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03"/>
      <c r="U13" s="252"/>
    </row>
    <row r="14" spans="1:21" s="177" customFormat="1" ht="30" customHeight="1" x14ac:dyDescent="0.25">
      <c r="A14" s="166"/>
      <c r="B14" s="269"/>
      <c r="C14" s="170">
        <v>2</v>
      </c>
      <c r="D14" s="170" t="str">
        <f>IF(VLOOKUP(CONCATENATE($C$3,"-",C14),Languages!$A:$D,1,TRUE)=CONCATENATE($C$3,"-",C14),VLOOKUP(CONCATENATE($C$3,"-",C14),Languages!$A:$D,Summary!$C$7,TRUE),NA())</f>
        <v>Loogisten käyttöoikeuksien hallinta</v>
      </c>
      <c r="E14" s="170"/>
      <c r="F14" s="292"/>
      <c r="G14" s="292" t="s">
        <v>16</v>
      </c>
      <c r="H14" s="293"/>
      <c r="I14" s="293"/>
      <c r="J14" s="293"/>
      <c r="K14" s="293"/>
      <c r="L14" s="154"/>
      <c r="M14" s="252"/>
      <c r="N14" s="802"/>
      <c r="O14" s="1203"/>
      <c r="P14" s="1185"/>
      <c r="Q14" s="1185"/>
      <c r="R14" s="1185"/>
      <c r="S14" s="1185"/>
      <c r="T14" s="803"/>
      <c r="U14" s="252"/>
    </row>
    <row r="15" spans="1:21" s="278" customFormat="1" ht="75" customHeight="1" x14ac:dyDescent="0.2">
      <c r="A15" s="275"/>
      <c r="B15" s="276"/>
      <c r="C15" s="1216" t="str">
        <f>IF(VLOOKUP(CONCATENATE($C$3,"-",$C14,"-0"),Languages!$A:$D,1,TRUE)=CONCATENATE($C$3,"-",$C14,"-0"),VLOOKUP(CONCATENATE($C$3,"-",$C14,"-0"),Languages!$A:$D,Summary!$C$7,TRUE),NA())</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D15" s="1216"/>
      <c r="E15" s="1216"/>
      <c r="F15" s="1216"/>
      <c r="G15" s="1216"/>
      <c r="H15" s="1216"/>
      <c r="I15" s="1216"/>
      <c r="J15" s="1216"/>
      <c r="K15" s="1216"/>
      <c r="L15" s="154"/>
      <c r="M15" s="252"/>
      <c r="N15" s="802"/>
      <c r="O15" s="1202" t="str">
        <f>IF(VLOOKUP(CONCATENATE($C$3,"-",$C14),Import!$C$11:$H$485,2,FALSE)=0,"",VLOOKUP(CONCATENATE($C$3,"-",$C14),Import!$C$11:$H$485,2,FALSE))</f>
        <v/>
      </c>
      <c r="P15" s="1184" t="str">
        <f>IF(VLOOKUP(CONCATENATE($C$3,"-",$C14),Import!$C$11:$H$485,3,FALSE)=0,"",VLOOKUP(CONCATENATE($C$3,"-",$C14),Import!$C$11:$H$485,3,FALSE))</f>
        <v/>
      </c>
      <c r="Q15" s="1184" t="str">
        <f>IF(VLOOKUP(CONCATENATE($C$3,"-",$C14),Import!$C$11:$H$485,4,FALSE)=0,"",VLOOKUP(CONCATENATE($C$3,"-",$C14),Import!$C$11:$H$485,4,FALSE))</f>
        <v/>
      </c>
      <c r="R15" s="1184" t="str">
        <f>IF(VLOOKUP(CONCATENATE($C$3,"-",$C14),Import!$C$11:$H$485,5,FALSE)=0,"",VLOOKUP(CONCATENATE($C$3,"-",$C14),Import!$C$11:$H$485,5,FALSE))</f>
        <v/>
      </c>
      <c r="S15" s="1184" t="str">
        <f>IF(VLOOKUP(CONCATENATE($C$3,"-",$C14),Import!$C$11:$H$485,6,FALSE)=0,"",VLOOKUP(CONCATENATE($C$3,"-",$C14),Import!$C$11:$H$485,6,FALSE))</f>
        <v/>
      </c>
      <c r="T15" s="803"/>
      <c r="U15" s="252"/>
    </row>
    <row r="16" spans="1:21" s="177" customFormat="1" ht="30" customHeight="1" x14ac:dyDescent="0.25">
      <c r="A16" s="166"/>
      <c r="B16" s="269"/>
      <c r="C16" s="170">
        <v>3</v>
      </c>
      <c r="D16" s="170" t="str">
        <f>IF(VLOOKUP(CONCATENATE($C$3,"-",C16),Languages!$A:$D,1,TRUE)=CONCATENATE($C$3,"-",C16),VLOOKUP(CONCATENATE($C$3,"-",C16),Languages!$A:$D,Summary!$C$7,TRUE),NA())</f>
        <v>Fyysinen pääsynhallinta</v>
      </c>
      <c r="E16" s="170"/>
      <c r="F16" s="292"/>
      <c r="G16" s="292" t="s">
        <v>16</v>
      </c>
      <c r="H16" s="293"/>
      <c r="I16" s="293"/>
      <c r="J16" s="293"/>
      <c r="K16" s="293"/>
      <c r="L16" s="154"/>
      <c r="M16" s="252"/>
      <c r="N16" s="802"/>
      <c r="O16" s="1203"/>
      <c r="P16" s="1185"/>
      <c r="Q16" s="1185"/>
      <c r="R16" s="1185"/>
      <c r="S16" s="1185"/>
      <c r="T16" s="803"/>
      <c r="U16" s="252"/>
    </row>
    <row r="17" spans="1:21" s="278" customFormat="1" ht="75" customHeight="1" x14ac:dyDescent="0.2">
      <c r="A17" s="275"/>
      <c r="B17" s="276"/>
      <c r="C17" s="1216" t="str">
        <f>IF(VLOOKUP(CONCATENATE($C$3,"-",$C16,"-0"),Languages!$A:$D,1,TRUE)=CONCATENATE($C$3,"-",$C16,"-0"),VLOOKUP(CONCATENATE($C$3,"-",$C16,"-0"),Languages!$A:$D,Summary!$C$7,TRUE),NA())</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D17" s="1216"/>
      <c r="E17" s="1216"/>
      <c r="F17" s="1216"/>
      <c r="G17" s="1216"/>
      <c r="H17" s="1216"/>
      <c r="I17" s="1216"/>
      <c r="J17" s="1216"/>
      <c r="K17" s="1216"/>
      <c r="L17" s="154"/>
      <c r="M17" s="252"/>
      <c r="N17" s="802"/>
      <c r="O17" s="1202" t="str">
        <f>IF(VLOOKUP(CONCATENATE($C$3,"-",$C16),Import!$C$11:$H$485,2,FALSE)=0,"",VLOOKUP(CONCATENATE($C$3,"-",$C16),Import!$C$11:$H$485,2,FALSE))</f>
        <v/>
      </c>
      <c r="P17" s="1184" t="str">
        <f>IF(VLOOKUP(CONCATENATE($C$3,"-",$C16),Import!$C$11:$H$485,3,FALSE)=0,"",VLOOKUP(CONCATENATE($C$3,"-",$C16),Import!$C$11:$H$485,3,FALSE))</f>
        <v/>
      </c>
      <c r="Q17" s="1184" t="str">
        <f>IF(VLOOKUP(CONCATENATE($C$3,"-",$C16),Import!$C$11:$H$485,4,FALSE)=0,"",VLOOKUP(CONCATENATE($C$3,"-",$C16),Import!$C$11:$H$485,4,FALSE))</f>
        <v/>
      </c>
      <c r="R17" s="1184" t="str">
        <f>IF(VLOOKUP(CONCATENATE($C$3,"-",$C16),Import!$C$11:$H$485,5,FALSE)=0,"",VLOOKUP(CONCATENATE($C$3,"-",$C16),Import!$C$11:$H$485,5,FALSE))</f>
        <v/>
      </c>
      <c r="S17" s="1184" t="str">
        <f>IF(VLOOKUP(CONCATENATE($C$3,"-",$C16),Import!$C$11:$H$485,6,FALSE)=0,"",VLOOKUP(CONCATENATE($C$3,"-",$C16),Import!$C$11:$H$485,6,FALSE))</f>
        <v/>
      </c>
      <c r="T17" s="803"/>
      <c r="U17" s="252"/>
    </row>
    <row r="18" spans="1:21" s="177" customFormat="1" ht="30" customHeight="1" x14ac:dyDescent="0.25">
      <c r="A18" s="166"/>
      <c r="B18" s="269"/>
      <c r="C18" s="170">
        <v>4</v>
      </c>
      <c r="D18" s="170" t="str">
        <f>IF(VLOOKUP(CONCATENATE($C$3,"-",C18),Languages!$A:$D,1,TRUE)=CONCATENATE($C$3,"-",C18),VLOOKUP(CONCATENATE($C$3,"-",C18),Languages!$A:$D,Summary!$C$7,TRUE),NA())</f>
        <v>Yleisiä hallintatoimia</v>
      </c>
      <c r="E18" s="170"/>
      <c r="F18" s="292"/>
      <c r="G18" s="292" t="s">
        <v>16</v>
      </c>
      <c r="H18" s="293"/>
      <c r="I18" s="293"/>
      <c r="J18" s="293"/>
      <c r="K18" s="293"/>
      <c r="L18" s="154"/>
      <c r="M18" s="252"/>
      <c r="N18" s="802"/>
      <c r="O18" s="1203"/>
      <c r="P18" s="1185"/>
      <c r="Q18" s="1185"/>
      <c r="R18" s="1185"/>
      <c r="S18" s="1185"/>
      <c r="T18" s="803"/>
      <c r="U18" s="252"/>
    </row>
    <row r="19" spans="1:21" s="278" customFormat="1" ht="49.2" customHeight="1" x14ac:dyDescent="0.2">
      <c r="A19" s="305"/>
      <c r="B19" s="306"/>
      <c r="C19" s="1216" t="str">
        <f>IF(VLOOKUP(CONCATENATE($C$3,"-",$C18,"-0"),Languages!$A:$D,1,TRUE)=CONCATENATE($C$3,"-",$C18,"-0"),VLOOKUP(CONCATENATE($C$3,"-",$C18,"-0"),Languages!$A:$D,Summary!$C$7,TRUE),NA())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9" s="1216"/>
      <c r="E19" s="1216"/>
      <c r="F19" s="1216"/>
      <c r="G19" s="1216"/>
      <c r="H19" s="1216"/>
      <c r="I19" s="1216"/>
      <c r="J19" s="1216"/>
      <c r="K19" s="1216"/>
      <c r="L19" s="154"/>
      <c r="M19" s="252"/>
      <c r="N19" s="802"/>
      <c r="O19" s="1202" t="str">
        <f>IF(VLOOKUP(CONCATENATE($C$3,"-",$C18),Import!$C$11:$H$485,2,FALSE)=0,"",VLOOKUP(CONCATENATE($C$3,"-",$C18),Import!$C$11:$H$485,2,FALSE))</f>
        <v/>
      </c>
      <c r="P19" s="1184" t="str">
        <f>IF(VLOOKUP(CONCATENATE($C$3,"-",$C18),Import!$C$11:$H$485,3,FALSE)=0,"",VLOOKUP(CONCATENATE($C$3,"-",$C18),Import!$C$11:$H$485,3,FALSE))</f>
        <v/>
      </c>
      <c r="Q19" s="1184" t="str">
        <f>IF(VLOOKUP(CONCATENATE($C$3,"-",$C18),Import!$C$11:$H$485,4,FALSE)=0,"",VLOOKUP(CONCATENATE($C$3,"-",$C18),Import!$C$11:$H$485,4,FALSE))</f>
        <v/>
      </c>
      <c r="R19" s="1184" t="str">
        <f>IF(VLOOKUP(CONCATENATE($C$3,"-",$C18),Import!$C$11:$H$485,5,FALSE)=0,"",VLOOKUP(CONCATENATE($C$3,"-",$C18),Import!$C$11:$H$485,5,FALSE))</f>
        <v/>
      </c>
      <c r="S19" s="1184" t="str">
        <f>IF(VLOOKUP(CONCATENATE($C$3,"-",$C18),Import!$C$11:$H$485,6,FALSE)=0,"",VLOOKUP(CONCATENATE($C$3,"-",$C18),Import!$C$11:$H$485,6,FALSE))</f>
        <v/>
      </c>
      <c r="T19" s="803"/>
      <c r="U19" s="252"/>
    </row>
    <row r="20" spans="1:21" s="278" customFormat="1" ht="49.2" customHeight="1" x14ac:dyDescent="0.2">
      <c r="A20" s="305"/>
      <c r="B20" s="306"/>
      <c r="C20" s="1116"/>
      <c r="D20" s="1116"/>
      <c r="E20" s="1116"/>
      <c r="F20" s="1116"/>
      <c r="G20" s="1116"/>
      <c r="H20" s="1116"/>
      <c r="I20" s="1116"/>
      <c r="J20" s="1116"/>
      <c r="K20" s="1116"/>
      <c r="L20" s="154"/>
      <c r="M20" s="252"/>
      <c r="N20" s="1130"/>
      <c r="O20" s="1203"/>
      <c r="P20" s="1185"/>
      <c r="Q20" s="1185"/>
      <c r="R20" s="1185"/>
      <c r="S20" s="1185"/>
      <c r="T20" s="1130"/>
      <c r="U20" s="252"/>
    </row>
    <row r="21" spans="1:21" s="278" customFormat="1" ht="16.2" customHeight="1" x14ac:dyDescent="0.2">
      <c r="A21" s="305"/>
      <c r="B21" s="1121"/>
      <c r="C21" s="1122"/>
      <c r="D21" s="1122"/>
      <c r="E21" s="1122"/>
      <c r="F21" s="1122"/>
      <c r="G21" s="1122"/>
      <c r="H21" s="1122"/>
      <c r="I21" s="1122"/>
      <c r="J21" s="1122"/>
      <c r="K21" s="1122"/>
      <c r="L21" s="1123"/>
      <c r="M21" s="252"/>
      <c r="N21" s="804"/>
      <c r="O21" s="1114"/>
      <c r="P21" s="1114"/>
      <c r="Q21" s="1114"/>
      <c r="R21" s="1114"/>
      <c r="S21" s="1126"/>
      <c r="T21" s="805"/>
      <c r="U21" s="252"/>
    </row>
    <row r="22" spans="1:21" s="278" customFormat="1" ht="18" customHeight="1" x14ac:dyDescent="0.25">
      <c r="A22" s="305"/>
      <c r="B22" s="655"/>
      <c r="C22" s="655"/>
      <c r="D22" s="655"/>
      <c r="E22" s="655"/>
      <c r="F22" s="655"/>
      <c r="G22" s="655"/>
      <c r="H22" s="655"/>
      <c r="I22" s="655"/>
      <c r="J22" s="655"/>
      <c r="K22" s="655"/>
      <c r="L22" s="656"/>
      <c r="M22" s="135"/>
      <c r="N22" s="135"/>
      <c r="O22" s="251"/>
      <c r="P22" s="250"/>
      <c r="Q22" s="771"/>
      <c r="R22" s="250"/>
      <c r="S22" s="250"/>
      <c r="T22" s="135"/>
      <c r="U22" s="135"/>
    </row>
    <row r="23" spans="1:21" s="278" customFormat="1" ht="19.95" customHeight="1" x14ac:dyDescent="0.2">
      <c r="A23" s="305"/>
      <c r="B23" s="649"/>
      <c r="C23" s="647"/>
      <c r="D23" s="647"/>
      <c r="E23" s="647"/>
      <c r="F23" s="647"/>
      <c r="G23" s="647"/>
      <c r="H23" s="647"/>
      <c r="I23" s="647"/>
      <c r="J23" s="647"/>
      <c r="K23" s="647"/>
      <c r="L23" s="648"/>
      <c r="M23" s="252"/>
      <c r="N23" s="464" t="str">
        <f>IF(VLOOKUP("KM116",Languages!$A:$D,1,TRUE)="KM116",VLOOKUP("KM116",Languages!$A:$D,Summary!$C$7,TRUE),NA())</f>
        <v>EDELLINEN ARVIOINTI</v>
      </c>
      <c r="O23" s="430"/>
      <c r="P23" s="255"/>
      <c r="Q23" s="772" t="str">
        <f>IF(VLOOKUP("KM110",Languages!$A:$D,1,TRUE)="KM110",VLOOKUP("KM110",Languages!$A:$D,Summary!$C$7,TRUE),NA())</f>
        <v>Päivämäärä</v>
      </c>
      <c r="R23" s="255"/>
      <c r="S23" s="255"/>
      <c r="T23" s="147"/>
      <c r="U23" s="252"/>
    </row>
    <row r="24" spans="1:21" s="177" customFormat="1" ht="19.95" customHeight="1" x14ac:dyDescent="0.25">
      <c r="A24" s="166"/>
      <c r="B24" s="269"/>
      <c r="C24" s="170">
        <v>1</v>
      </c>
      <c r="D24" s="170" t="str">
        <f>IF(VLOOKUP(CONCATENATE($C$3,"-",C24),Languages!$A:$D,1,TRUE)=CONCATENATE($C$3,"-",C24),VLOOKUP(CONCATENATE($C$3,"-",C24),Languages!$A:$D,Summary!$C$7,TRUE),NA())</f>
        <v>Identiteettien luominen ja hallinta</v>
      </c>
      <c r="E24" s="170"/>
      <c r="F24" s="271"/>
      <c r="G24" s="271"/>
      <c r="H24" s="272"/>
      <c r="I24" s="272"/>
      <c r="J24" s="272"/>
      <c r="K24" s="272"/>
      <c r="L24" s="154"/>
      <c r="M24" s="305"/>
      <c r="N24" s="306"/>
      <c r="O24" s="431"/>
      <c r="P24" s="426"/>
      <c r="Q24" s="697"/>
      <c r="R24" s="770"/>
      <c r="S24" s="770"/>
      <c r="T24" s="277"/>
      <c r="U24" s="305"/>
    </row>
    <row r="25" spans="1:21" s="285" customFormat="1" ht="19.95" customHeight="1" x14ac:dyDescent="0.2">
      <c r="A25" s="304"/>
      <c r="B25" s="279"/>
      <c r="C25" s="280" t="str">
        <f>IF(VLOOKUP("GEN-LEVEL",Languages!$A:$D,1,TRUE)="GEN-LEVEL",VLOOKUP("GEN-LEVEL",Languages!$A:$D,Summary!$C$7,TRUE),NA())</f>
        <v>Taso</v>
      </c>
      <c r="D25" s="280"/>
      <c r="E25" s="281" t="str">
        <f>IF(VLOOKUP("GEN-PRACTICE",Languages!$A:$D,1,TRUE)="GEN-PRACTICE",VLOOKUP("GEN-PRACTICE",Languages!$A:$D,Summary!$C$7,TRUE),NA())</f>
        <v>Käytäntö</v>
      </c>
      <c r="F25" s="282"/>
      <c r="G25" s="904" t="str">
        <f>IF(VLOOKUP("GEN-ANSWER",Languages!$A:$D,1,TRUE)="GEN-ANSWER",VLOOKUP("GEN-ANSWER",Languages!$A:$D,Summary!$C$7,TRUE),NA())</f>
        <v>Vastaus</v>
      </c>
      <c r="H25" s="905" t="str">
        <f>IF(VLOOKUP("KM112",Languages!$A:$D,1,TRUE)="KM112",VLOOKUP("KM112",Languages!$A:$D,Summary!$C$7,TRUE),NA())</f>
        <v>Kommentit</v>
      </c>
      <c r="I25" s="905" t="str">
        <f>IF(VLOOKUP("KM113",Languages!$A:$D,1,TRUE)="KM113",VLOOKUP("KM113",Languages!$A:$D,Summary!$C$7,TRUE),NA())</f>
        <v>Sisäinen viittaus</v>
      </c>
      <c r="J25" s="905" t="str">
        <f>IF(VLOOKUP("KM114",Languages!$A:$D,1,TRUE)="KM114",VLOOKUP("KM114",Languages!$A:$D,Summary!$C$7,TRUE),NA())</f>
        <v>Ulkoinen viittaus</v>
      </c>
      <c r="K25" s="905" t="str">
        <f>IF(VLOOKUP("KM115",Languages!$A:$D,1,TRUE)="KM115",VLOOKUP("KM115",Languages!$A:$D,Summary!$C$7,TRUE),NA())</f>
        <v>Kehityskohde</v>
      </c>
      <c r="L25" s="283"/>
      <c r="M25" s="284"/>
      <c r="N25" s="279"/>
      <c r="O25" s="463" t="str">
        <f>IF(VLOOKUP("GEN-ANSWER",Languages!$A:$D,1,TRUE)="GEN-ANSWER",VLOOKUP("GEN-ANSWER",Languages!$A:$D,Summary!$C$7,TRUE),NA())</f>
        <v>Vastaus</v>
      </c>
      <c r="P25" s="463" t="str">
        <f>IF(VLOOKUP("KM112",Languages!$A:$D,1,TRUE)="KM112",VLOOKUP("KM112",Languages!$A:$D,Summary!$C$7,TRUE),NA())</f>
        <v>Kommentit</v>
      </c>
      <c r="Q25" s="463" t="str">
        <f>IF(VLOOKUP("KM113",Languages!$A:$D,1,TRUE)="KM113",VLOOKUP("KM113",Languages!$A:$D,Summary!$C$7,TRUE),NA())</f>
        <v>Sisäinen viittaus</v>
      </c>
      <c r="R25" s="463" t="str">
        <f>IF(VLOOKUP("KM114",Languages!$A:$D,1,TRUE)="KM114",VLOOKUP("KM114",Languages!$A:$D,Summary!$C$7,TRUE),NA())</f>
        <v>Ulkoinen viittaus</v>
      </c>
      <c r="S25" s="463" t="str">
        <f>IF(VLOOKUP("KM115",Languages!$A:$D,1,TRUE)="KM115",VLOOKUP("KM115",Languages!$A:$D,Summary!$C$7,TRUE),NA())</f>
        <v>Kehityskohde</v>
      </c>
      <c r="T25" s="283"/>
      <c r="U25" s="284"/>
    </row>
    <row r="26" spans="1:21" s="289" customFormat="1" ht="85.2" customHeight="1" x14ac:dyDescent="0.2">
      <c r="A26" s="275"/>
      <c r="B26" s="1190"/>
      <c r="C26" s="1235">
        <v>1</v>
      </c>
      <c r="D26" s="387" t="s">
        <v>5</v>
      </c>
      <c r="E26" s="467" t="str">
        <f>IF(VLOOKUP(CONCATENATE($C$3,"-",$D26),Languages!$A:$D,1,TRUE)=CONCATENATE($C$3,"-",$D26),VLOOKUP(CONCATENATE($C$3,"-",$D26),Languages!$A:$D,Summary!$C$7,TRUE),NA())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26" s="386">
        <f t="shared" ref="F26:F35" si="0">IFERROR(INT(LEFT($G26,1)),0)</f>
        <v>0</v>
      </c>
      <c r="G26" s="445" t="s">
        <v>2542</v>
      </c>
      <c r="H26" s="446"/>
      <c r="I26" s="446"/>
      <c r="J26" s="446"/>
      <c r="K26" s="447"/>
      <c r="L26" s="154"/>
      <c r="M26" s="252"/>
      <c r="N26" s="149"/>
      <c r="O26" s="889" t="str">
        <f>VLOOKUP(VLOOKUP($C$3&amp;"-"&amp;$D26,Import!$C:$D,2,FALSE),Parameters!$C$18:$F$22,Summary!$C$7,FALSE)</f>
        <v xml:space="preserve">0 - Vastaus puuttuu </v>
      </c>
      <c r="P26" s="931" t="str">
        <f>IF(VLOOKUP($C$3&amp;"-"&amp;$D26,Import!$C:$H,3,FALSE)=0,"",VLOOKUP($C$3&amp;"-"&amp;$D26,Import!$C:$H,3,FALSE))</f>
        <v/>
      </c>
      <c r="Q26" s="931" t="str">
        <f>IF(VLOOKUP($C$3&amp;"-"&amp;$D26,Import!$C:$H,4,FALSE)=0,"",VLOOKUP($C$3&amp;"-"&amp;$D26,Import!$C:$H,4,FALSE))</f>
        <v/>
      </c>
      <c r="R26" s="935" t="str">
        <f>IF(VLOOKUP($C$3&amp;"-"&amp;$D26,Import!$C:$H,5,FALSE)=0,"",VLOOKUP($C$3&amp;"-"&amp;$D26,Import!$C:$H,5,FALSE))</f>
        <v/>
      </c>
      <c r="S26" s="932" t="str">
        <f>IF(VLOOKUP($C$3&amp;"-"&amp;$D26,Import!$C:$H,6,FALSE)=0,"",VLOOKUP($C$3&amp;"-"&amp;$D26,Import!$C:$H,6,FALSE))</f>
        <v/>
      </c>
      <c r="T26" s="154"/>
      <c r="U26" s="252"/>
    </row>
    <row r="27" spans="1:21" s="289" customFormat="1" ht="45" customHeight="1" x14ac:dyDescent="0.2">
      <c r="A27" s="275"/>
      <c r="B27" s="1190"/>
      <c r="C27" s="1236"/>
      <c r="D27" s="286" t="s">
        <v>7</v>
      </c>
      <c r="E27" s="468" t="str">
        <f>IF(VLOOKUP(CONCATENATE($C$3,"-",$D27),Languages!$A:$D,1,TRUE)=CONCATENATE($C$3,"-",$D27),VLOOKUP(CONCATENATE($C$3,"-",$D27),Languages!$A:$D,Summary!$C$7,TRUE),NA())</f>
        <v>Työntekijöille ja muille entiteeteille jaetaan pääsyvaltuustiedot (kuten salasanat, älykortit tai avaimet). Tasolla 1 tämän ei tarvitse olla systemaattista ja säännöllistä.</v>
      </c>
      <c r="F27" s="287">
        <f t="shared" si="0"/>
        <v>0</v>
      </c>
      <c r="G27" s="307" t="s">
        <v>2542</v>
      </c>
      <c r="H27" s="440"/>
      <c r="I27" s="440"/>
      <c r="J27" s="440"/>
      <c r="K27" s="448"/>
      <c r="L27" s="154"/>
      <c r="M27" s="252"/>
      <c r="N27" s="149"/>
      <c r="O27" s="892" t="str">
        <f>VLOOKUP(VLOOKUP($C$3&amp;"-"&amp;$D27,Import!$C:$D,2,FALSE),Parameters!$C$18:$F$22,Summary!$C$7,FALSE)</f>
        <v xml:space="preserve">0 - Vastaus puuttuu </v>
      </c>
      <c r="P27" s="914" t="str">
        <f>IF(VLOOKUP($C$3&amp;"-"&amp;$D27,Import!$C:$H,3,FALSE)=0,"",VLOOKUP($C$3&amp;"-"&amp;$D27,Import!$C:$H,3,FALSE))</f>
        <v/>
      </c>
      <c r="Q27" s="914" t="str">
        <f>IF(VLOOKUP($C$3&amp;"-"&amp;$D27,Import!$C:$H,4,FALSE)=0,"",VLOOKUP($C$3&amp;"-"&amp;$D27,Import!$C:$H,4,FALSE))</f>
        <v/>
      </c>
      <c r="R27" s="914" t="str">
        <f>IF(VLOOKUP($C$3&amp;"-"&amp;$D27,Import!$C:$H,5,FALSE)=0,"",VLOOKUP($C$3&amp;"-"&amp;$D27,Import!$C:$H,5,FALSE))</f>
        <v/>
      </c>
      <c r="S27" s="915" t="str">
        <f>IF(VLOOKUP($C$3&amp;"-"&amp;$D27,Import!$C:$H,6,FALSE)=0,"",VLOOKUP($C$3&amp;"-"&amp;$D27,Import!$C:$H,6,FALSE))</f>
        <v/>
      </c>
      <c r="T27" s="154"/>
      <c r="U27" s="252"/>
    </row>
    <row r="28" spans="1:21" s="289" customFormat="1" ht="34.950000000000003" customHeight="1" x14ac:dyDescent="0.2">
      <c r="A28" s="275"/>
      <c r="B28" s="1190"/>
      <c r="C28" s="1237"/>
      <c r="D28" s="407" t="s">
        <v>8</v>
      </c>
      <c r="E28" s="474" t="str">
        <f>IF(VLOOKUP(CONCATENATE($C$3,"-",$D28),Languages!$A:$D,1,TRUE)=CONCATENATE($C$3,"-",$D28),VLOOKUP(CONCATENATE($C$3,"-",$D28),Languages!$A:$D,Summary!$C$7,TRUE),NA())</f>
        <v>Identiteetit poistetaan käytöstä, kun niitä ei enää tarvita. Tasolla 1 tämän ei tarvitse olla systemaattista ja säännöllistä.</v>
      </c>
      <c r="F28" s="393">
        <f t="shared" si="0"/>
        <v>0</v>
      </c>
      <c r="G28" s="449" t="s">
        <v>2542</v>
      </c>
      <c r="H28" s="441"/>
      <c r="I28" s="441"/>
      <c r="J28" s="441"/>
      <c r="K28" s="450"/>
      <c r="L28" s="154"/>
      <c r="M28" s="252"/>
      <c r="N28" s="149"/>
      <c r="O28" s="897" t="str">
        <f>VLOOKUP(VLOOKUP($C$3&amp;"-"&amp;$D28,Import!$C:$D,2,FALSE),Parameters!$C$18:$F$22,Summary!$C$7,FALSE)</f>
        <v xml:space="preserve">0 - Vastaus puuttuu </v>
      </c>
      <c r="P28" s="933" t="str">
        <f>IF(VLOOKUP($C$3&amp;"-"&amp;$D28,Import!$C:$H,3,FALSE)=0,"",VLOOKUP($C$3&amp;"-"&amp;$D28,Import!$C:$H,3,FALSE))</f>
        <v/>
      </c>
      <c r="Q28" s="933" t="str">
        <f>IF(VLOOKUP($C$3&amp;"-"&amp;$D28,Import!$C:$H,4,FALSE)=0,"",VLOOKUP($C$3&amp;"-"&amp;$D28,Import!$C:$H,4,FALSE))</f>
        <v/>
      </c>
      <c r="R28" s="933" t="str">
        <f>IF(VLOOKUP($C$3&amp;"-"&amp;$D28,Import!$C:$H,5,FALSE)=0,"",VLOOKUP($C$3&amp;"-"&amp;$D28,Import!$C:$H,5,FALSE))</f>
        <v/>
      </c>
      <c r="S28" s="934" t="str">
        <f>IF(VLOOKUP($C$3&amp;"-"&amp;$D28,Import!$C:$H,6,FALSE)=0,"",VLOOKUP($C$3&amp;"-"&amp;$D28,Import!$C:$H,6,FALSE))</f>
        <v/>
      </c>
      <c r="T28" s="154"/>
      <c r="U28" s="252"/>
    </row>
    <row r="29" spans="1:21" s="289" customFormat="1" ht="62.4" customHeight="1" x14ac:dyDescent="0.2">
      <c r="A29" s="275"/>
      <c r="B29" s="1190"/>
      <c r="C29" s="1017">
        <v>2</v>
      </c>
      <c r="D29" s="387" t="s">
        <v>9</v>
      </c>
      <c r="E29" s="471" t="str">
        <f>IF(VLOOKUP(CONCATENATE($C$3,"-",$D29),Languages!$A:$D,1,TRUE)=CONCATENATE($C$3,"-",$D29),VLOOKUP(CONCATENATE($C$3,"-",$D29),Languages!$A:$D,Summary!$C$7,TRUE),NA())</f>
        <v>Salasanojen vahvuusvaatimukset ja uudelleenkäytön rajoitukset on määritelty ja niiden noudattaminen on pakollista.</v>
      </c>
      <c r="F29" s="386">
        <f t="shared" si="0"/>
        <v>0</v>
      </c>
      <c r="G29" s="445" t="s">
        <v>2542</v>
      </c>
      <c r="H29" s="446"/>
      <c r="I29" s="446"/>
      <c r="J29" s="446"/>
      <c r="K29" s="447"/>
      <c r="L29" s="154"/>
      <c r="M29" s="252"/>
      <c r="N29" s="149"/>
      <c r="O29" s="889" t="str">
        <f>VLOOKUP(VLOOKUP($C$3&amp;"-"&amp;$D29,Import!$C:$D,2,FALSE),Parameters!$C$18:$F$22,Summary!$C$7,FALSE)</f>
        <v xml:space="preserve">0 - Vastaus puuttuu </v>
      </c>
      <c r="P29" s="931" t="str">
        <f>IF(VLOOKUP($C$3&amp;"-"&amp;$D29,Import!$C:$H,3,FALSE)=0,"",VLOOKUP($C$3&amp;"-"&amp;$D29,Import!$C:$H,3,FALSE))</f>
        <v/>
      </c>
      <c r="Q29" s="931" t="str">
        <f>IF(VLOOKUP($C$3&amp;"-"&amp;$D29,Import!$C:$H,4,FALSE)=0,"",VLOOKUP($C$3&amp;"-"&amp;$D29,Import!$C:$H,4,FALSE))</f>
        <v/>
      </c>
      <c r="R29" s="931" t="str">
        <f>IF(VLOOKUP($C$3&amp;"-"&amp;$D29,Import!$C:$H,5,FALSE)=0,"",VLOOKUP($C$3&amp;"-"&amp;$D29,Import!$C:$H,5,FALSE))</f>
        <v/>
      </c>
      <c r="S29" s="932" t="str">
        <f>IF(VLOOKUP($C$3&amp;"-"&amp;$D29,Import!$C:$H,6,FALSE)=0,"",VLOOKUP($C$3&amp;"-"&amp;$D29,Import!$C:$H,6,FALSE))</f>
        <v/>
      </c>
      <c r="T29" s="154"/>
      <c r="U29" s="252"/>
    </row>
    <row r="30" spans="1:21" s="289" customFormat="1" ht="34.950000000000003" customHeight="1" x14ac:dyDescent="0.2">
      <c r="A30" s="275"/>
      <c r="B30" s="1190"/>
      <c r="C30" s="1018"/>
      <c r="D30" s="290" t="s">
        <v>10</v>
      </c>
      <c r="E30" s="469" t="str">
        <f>IF(VLOOKUP(CONCATENATE($C$3,"-",$D30),Languages!$A:$D,1,TRUE)=CONCATENATE($C$3,"-",$D30),VLOOKUP(CONCATENATE($C$3,"-",$D30),Languages!$A:$D,Summary!$C$7,TRUE),NA())</f>
        <v>Identiteettien ajantasaisuudesta huolehditaan tarkastamalla ja päivittämällä ne määrätellyin väliajoin ja määriteltyjen tilanteiden kuten järjestelmämuutosten yhteydessä tai organisaatiorakenteen muuttuessa.</v>
      </c>
      <c r="F30" s="287">
        <f t="shared" si="0"/>
        <v>0</v>
      </c>
      <c r="G30" s="307" t="s">
        <v>2542</v>
      </c>
      <c r="H30" s="443"/>
      <c r="I30" s="443"/>
      <c r="J30" s="443"/>
      <c r="K30" s="452"/>
      <c r="L30" s="154"/>
      <c r="M30" s="252"/>
      <c r="N30" s="149"/>
      <c r="O30" s="892" t="str">
        <f>VLOOKUP(VLOOKUP($C$3&amp;"-"&amp;$D30,Import!$C:$D,2,FALSE),Parameters!$C$18:$F$22,Summary!$C$7,FALSE)</f>
        <v xml:space="preserve">0 - Vastaus puuttuu </v>
      </c>
      <c r="P30" s="916" t="str">
        <f>IF(VLOOKUP($C$3&amp;"-"&amp;$D30,Import!$C:$H,3,FALSE)=0,"",VLOOKUP($C$3&amp;"-"&amp;$D30,Import!$C:$H,3,FALSE))</f>
        <v/>
      </c>
      <c r="Q30" s="916" t="str">
        <f>IF(VLOOKUP($C$3&amp;"-"&amp;$D30,Import!$C:$H,4,FALSE)=0,"",VLOOKUP($C$3&amp;"-"&amp;$D30,Import!$C:$H,4,FALSE))</f>
        <v/>
      </c>
      <c r="R30" s="916" t="str">
        <f>IF(VLOOKUP($C$3&amp;"-"&amp;$D30,Import!$C:$H,5,FALSE)=0,"",VLOOKUP($C$3&amp;"-"&amp;$D30,Import!$C:$H,5,FALSE))</f>
        <v/>
      </c>
      <c r="S30" s="917" t="str">
        <f>IF(VLOOKUP($C$3&amp;"-"&amp;$D30,Import!$C:$H,6,FALSE)=0,"",VLOOKUP($C$3&amp;"-"&amp;$D30,Import!$C:$H,6,FALSE))</f>
        <v/>
      </c>
      <c r="T30" s="154"/>
      <c r="U30" s="252"/>
    </row>
    <row r="31" spans="1:21" s="289" customFormat="1" ht="34.950000000000003" customHeight="1" x14ac:dyDescent="0.2">
      <c r="A31" s="275"/>
      <c r="B31" s="1190"/>
      <c r="C31" s="1018"/>
      <c r="D31" s="388" t="s">
        <v>11</v>
      </c>
      <c r="E31" s="472" t="str">
        <f>IF(VLOOKUP(CONCATENATE($C$3,"-",$D31),Languages!$A:$D,1,TRUE)=CONCATENATE($C$3,"-",$D31),VLOOKUP(CONCATENATE($C$3,"-",$D31),Languages!$A:$D,Summary!$C$7,TRUE),NA())</f>
        <v>Identiteetit poistetaan käytöstä organisaation määrittelemien enimmäismääräaikojen puitteissa, kun niitä ei enää tarvita.</v>
      </c>
      <c r="F31" s="287">
        <f t="shared" si="0"/>
        <v>0</v>
      </c>
      <c r="G31" s="501" t="s">
        <v>2542</v>
      </c>
      <c r="H31" s="493"/>
      <c r="I31" s="493"/>
      <c r="J31" s="493"/>
      <c r="K31" s="494"/>
      <c r="L31" s="154"/>
      <c r="M31" s="252"/>
      <c r="N31" s="149"/>
      <c r="O31" s="892" t="str">
        <f>VLOOKUP(VLOOKUP($C$3&amp;"-"&amp;$D31,Import!$C:$D,2,FALSE),Parameters!$C$18:$F$22,Summary!$C$7,FALSE)</f>
        <v xml:space="preserve">0 - Vastaus puuttuu </v>
      </c>
      <c r="P31" s="916" t="str">
        <f>IF(VLOOKUP($C$3&amp;"-"&amp;$D31,Import!$C:$H,3,FALSE)=0,"",VLOOKUP($C$3&amp;"-"&amp;$D31,Import!$C:$H,3,FALSE))</f>
        <v/>
      </c>
      <c r="Q31" s="916" t="str">
        <f>IF(VLOOKUP($C$3&amp;"-"&amp;$D31,Import!$C:$H,4,FALSE)=0,"",VLOOKUP($C$3&amp;"-"&amp;$D31,Import!$C:$H,4,FALSE))</f>
        <v/>
      </c>
      <c r="R31" s="916" t="str">
        <f>IF(VLOOKUP($C$3&amp;"-"&amp;$D31,Import!$C:$H,5,FALSE)=0,"",VLOOKUP($C$3&amp;"-"&amp;$D31,Import!$C:$H,5,FALSE))</f>
        <v/>
      </c>
      <c r="S31" s="917" t="str">
        <f>IF(VLOOKUP($C$3&amp;"-"&amp;$D31,Import!$C:$H,6,FALSE)=0,"",VLOOKUP($C$3&amp;"-"&amp;$D31,Import!$C:$H,6,FALSE))</f>
        <v/>
      </c>
      <c r="T31" s="154"/>
      <c r="U31" s="252"/>
    </row>
    <row r="32" spans="1:21" s="289" customFormat="1" ht="34.950000000000003" customHeight="1" x14ac:dyDescent="0.2">
      <c r="A32" s="275"/>
      <c r="B32" s="1190"/>
      <c r="C32" s="1018"/>
      <c r="D32" s="388" t="s">
        <v>12</v>
      </c>
      <c r="E32" s="472" t="str">
        <f>IF(VLOOKUP(CONCATENATE($C$3,"-",$D32),Languages!$A:$D,1,TRUE)=CONCATENATE($C$3,"-",$D32),VLOOKUP(CONCATENATE($C$3,"-",$D32),Languages!$A:$D,Summary!$C$7,TRUE),NA())</f>
        <v>Hallintatunnusten käyttö on rajoitettu vain niihin prosesseihin, joihin ne on luotu.</v>
      </c>
      <c r="F32" s="287">
        <f t="shared" si="0"/>
        <v>0</v>
      </c>
      <c r="G32" s="501" t="s">
        <v>2542</v>
      </c>
      <c r="H32" s="493"/>
      <c r="I32" s="493"/>
      <c r="J32" s="493"/>
      <c r="K32" s="494"/>
      <c r="L32" s="154"/>
      <c r="M32" s="252"/>
      <c r="N32" s="149"/>
      <c r="O32" s="892" t="str">
        <f>VLOOKUP(VLOOKUP($C$3&amp;"-"&amp;$D32,Import!$C:$D,2,FALSE),Parameters!$C$18:$F$22,Summary!$C$7,FALSE)</f>
        <v xml:space="preserve">0 - Vastaus puuttuu </v>
      </c>
      <c r="P32" s="916" t="str">
        <f>IF(VLOOKUP($C$3&amp;"-"&amp;$D32,Import!$C:$H,3,FALSE)=0,"",VLOOKUP($C$3&amp;"-"&amp;$D32,Import!$C:$H,3,FALSE))</f>
        <v/>
      </c>
      <c r="Q32" s="916" t="str">
        <f>IF(VLOOKUP($C$3&amp;"-"&amp;$D32,Import!$C:$H,4,FALSE)=0,"",VLOOKUP($C$3&amp;"-"&amp;$D32,Import!$C:$H,4,FALSE))</f>
        <v/>
      </c>
      <c r="R32" s="916" t="str">
        <f>IF(VLOOKUP($C$3&amp;"-"&amp;$D32,Import!$C:$H,5,FALSE)=0,"",VLOOKUP($C$3&amp;"-"&amp;$D32,Import!$C:$H,5,FALSE))</f>
        <v/>
      </c>
      <c r="S32" s="917" t="str">
        <f>IF(VLOOKUP($C$3&amp;"-"&amp;$D32,Import!$C:$H,6,FALSE)=0,"",VLOOKUP($C$3&amp;"-"&amp;$D32,Import!$C:$H,6,FALSE))</f>
        <v/>
      </c>
      <c r="T32" s="154"/>
      <c r="U32" s="252"/>
    </row>
    <row r="33" spans="1:21" s="289" customFormat="1" ht="34.950000000000003" customHeight="1" x14ac:dyDescent="0.2">
      <c r="A33" s="275"/>
      <c r="B33" s="1190"/>
      <c r="C33" s="1018"/>
      <c r="D33" s="388" t="s">
        <v>13</v>
      </c>
      <c r="E33" s="470" t="str">
        <f>IF(VLOOKUP(CONCATENATE($C$3,"-",$D33),Languages!$A:$D,1,TRUE)=CONCATENATE($C$3,"-",$D33),VLOOKUP(CONCATENATE($C$3,"-",$D33),Languages!$A:$D,Summary!$C$7,TRUE),NA())</f>
        <v>Vahvempaa tai monivaiheista tunnistautumista tai kertakäyttötunnuksia vaaditaan käyttö- ja pääsyoikeuksille, joihin liittyy korkeampi riski (tällaisia voivat olla esimerkiksi hallinta- tai ylläpitotunnukset, jaetut tunnukset tai etäyhteyden käyttö).</v>
      </c>
      <c r="F33" s="385">
        <f t="shared" si="0"/>
        <v>0</v>
      </c>
      <c r="G33" s="501" t="s">
        <v>2542</v>
      </c>
      <c r="H33" s="493"/>
      <c r="I33" s="493"/>
      <c r="J33" s="493"/>
      <c r="K33" s="494"/>
      <c r="L33" s="154"/>
      <c r="M33" s="252"/>
      <c r="N33" s="149"/>
      <c r="O33" s="918" t="str">
        <f>VLOOKUP(VLOOKUP($C$3&amp;"-"&amp;$D33,Import!$C:$D,2,FALSE),Parameters!$C$18:$F$22,Summary!$C$7,FALSE)</f>
        <v xml:space="preserve">0 - Vastaus puuttuu </v>
      </c>
      <c r="P33" s="916" t="str">
        <f>IF(VLOOKUP($C$3&amp;"-"&amp;$D33,Import!$C:$H,3,FALSE)=0,"",VLOOKUP($C$3&amp;"-"&amp;$D33,Import!$C:$H,3,FALSE))</f>
        <v/>
      </c>
      <c r="Q33" s="916" t="str">
        <f>IF(VLOOKUP($C$3&amp;"-"&amp;$D33,Import!$C:$H,4,FALSE)=0,"",VLOOKUP($C$3&amp;"-"&amp;$D33,Import!$C:$H,4,FALSE))</f>
        <v/>
      </c>
      <c r="R33" s="916" t="str">
        <f>IF(VLOOKUP($C$3&amp;"-"&amp;$D33,Import!$C:$H,5,FALSE)=0,"",VLOOKUP($C$3&amp;"-"&amp;$D33,Import!$C:$H,5,FALSE))</f>
        <v/>
      </c>
      <c r="S33" s="917" t="str">
        <f>IF(VLOOKUP($C$3&amp;"-"&amp;$D33,Import!$C:$H,6,FALSE)=0,"",VLOOKUP($C$3&amp;"-"&amp;$D33,Import!$C:$H,6,FALSE))</f>
        <v/>
      </c>
      <c r="T33" s="154"/>
      <c r="U33" s="252"/>
    </row>
    <row r="34" spans="1:21" s="289" customFormat="1" ht="34.950000000000003" customHeight="1" x14ac:dyDescent="0.2">
      <c r="A34" s="275"/>
      <c r="B34" s="1190"/>
      <c r="C34" s="1233">
        <v>3</v>
      </c>
      <c r="D34" s="1040" t="s">
        <v>14</v>
      </c>
      <c r="E34" s="496" t="str">
        <f>IF(VLOOKUP(CONCATENATE($C$3,"-",$D34),Languages!$A:$D,1,TRUE)=CONCATENATE($C$3,"-",$D34),VLOOKUP(CONCATENATE($C$3,"-",$D34),Languages!$A:$D,Summary!$C$7,TRUE),NA())</f>
        <v xml:space="preserve">Monivaiheista tunnistautumista vaaditaan </v>
      </c>
      <c r="F34" s="386">
        <f t="shared" si="0"/>
        <v>0</v>
      </c>
      <c r="G34" s="488" t="s">
        <v>2542</v>
      </c>
      <c r="H34" s="1041"/>
      <c r="I34" s="1041"/>
      <c r="J34" s="1041"/>
      <c r="K34" s="1042"/>
      <c r="L34" s="154"/>
      <c r="M34" s="252"/>
      <c r="N34" s="149"/>
      <c r="O34" s="889" t="str">
        <f>VLOOKUP(VLOOKUP($C$3&amp;"-"&amp;$D34,Import!$C:$D,2,FALSE),Parameters!$C$18:$F$22,Summary!$C$7,FALSE)</f>
        <v xml:space="preserve">0 - Vastaus puuttuu </v>
      </c>
      <c r="P34" s="916" t="str">
        <f>IF(VLOOKUP($C$3&amp;"-"&amp;$D34,Import!$C:$H,3,FALSE)=0,"",VLOOKUP($C$3&amp;"-"&amp;$D34,Import!$C:$H,3,FALSE))</f>
        <v/>
      </c>
      <c r="Q34" s="916" t="str">
        <f>IF(VLOOKUP($C$3&amp;"-"&amp;$D34,Import!$C:$H,4,FALSE)=0,"",VLOOKUP($C$3&amp;"-"&amp;$D34,Import!$C:$H,4,FALSE))</f>
        <v/>
      </c>
      <c r="R34" s="916" t="str">
        <f>IF(VLOOKUP($C$3&amp;"-"&amp;$D34,Import!$C:$H,5,FALSE)=0,"",VLOOKUP($C$3&amp;"-"&amp;$D34,Import!$C:$H,5,FALSE))</f>
        <v/>
      </c>
      <c r="S34" s="917" t="str">
        <f>IF(VLOOKUP($C$3&amp;"-"&amp;$D34,Import!$C:$H,6,FALSE)=0,"",VLOOKUP($C$3&amp;"-"&amp;$D34,Import!$C:$H,6,FALSE))</f>
        <v/>
      </c>
      <c r="T34" s="154"/>
      <c r="U34" s="252"/>
    </row>
    <row r="35" spans="1:21" s="289" customFormat="1" ht="60" customHeight="1" x14ac:dyDescent="0.2">
      <c r="A35" s="275"/>
      <c r="B35" s="1190"/>
      <c r="C35" s="1234"/>
      <c r="D35" s="392" t="s">
        <v>15</v>
      </c>
      <c r="E35" s="472" t="str">
        <f>IF(VLOOKUP(CONCATENATE($C$3,"-",$D35),Languages!$A:$D,1,TRUE)=CONCATENATE($C$3,"-",$D35),VLOOKUP(CONCATENATE($C$3,"-",$D35),Languages!$A:$D,Summary!$C$7,TRUE),NA())</f>
        <v xml:space="preserve">Identiteetit, joilla ei ole kirjauduttu määritellyn ajanjakson kuluessa, poistetaan käytöstä mikäli mahdollista. </v>
      </c>
      <c r="F35" s="393">
        <f t="shared" si="0"/>
        <v>0</v>
      </c>
      <c r="G35" s="449" t="s">
        <v>2542</v>
      </c>
      <c r="H35" s="444"/>
      <c r="I35" s="444"/>
      <c r="J35" s="444"/>
      <c r="K35" s="453"/>
      <c r="L35" s="154"/>
      <c r="M35" s="252"/>
      <c r="N35" s="149"/>
      <c r="O35" s="897" t="str">
        <f>VLOOKUP(VLOOKUP($C$3&amp;"-"&amp;$D35,Import!$C:$D,2,FALSE),Parameters!$C$18:$F$22,Summary!$C$7,FALSE)</f>
        <v xml:space="preserve">0 - Vastaus puuttuu </v>
      </c>
      <c r="P35" s="923" t="str">
        <f>IF(VLOOKUP($C$3&amp;"-"&amp;$D35,Import!$C:$H,3,FALSE)=0,"",VLOOKUP($C$3&amp;"-"&amp;$D35,Import!$C:$H,3,FALSE))</f>
        <v/>
      </c>
      <c r="Q35" s="923" t="str">
        <f>IF(VLOOKUP($C$3&amp;"-"&amp;$D35,Import!$C:$H,4,FALSE)=0,"",VLOOKUP($C$3&amp;"-"&amp;$D35,Import!$C:$H,4,FALSE))</f>
        <v/>
      </c>
      <c r="R35" s="923" t="str">
        <f>IF(VLOOKUP($C$3&amp;"-"&amp;$D35,Import!$C:$H,5,FALSE)=0,"",VLOOKUP($C$3&amp;"-"&amp;$D35,Import!$C:$H,5,FALSE))</f>
        <v/>
      </c>
      <c r="S35" s="924" t="str">
        <f>IF(VLOOKUP($C$3&amp;"-"&amp;$D35,Import!$C:$H,6,FALSE)=0,"",VLOOKUP($C$3&amp;"-"&amp;$D35,Import!$C:$H,6,FALSE))</f>
        <v/>
      </c>
      <c r="T35" s="154"/>
      <c r="U35" s="252"/>
    </row>
    <row r="36" spans="1:21" s="177" customFormat="1" ht="30" customHeight="1" x14ac:dyDescent="0.25">
      <c r="A36" s="166"/>
      <c r="B36" s="269"/>
      <c r="C36" s="170">
        <v>2</v>
      </c>
      <c r="D36" s="170" t="str">
        <f>IF(VLOOKUP(CONCATENATE($C$3,"-",C36),Languages!$A:$D,1,TRUE)=CONCATENATE($C$3,"-",C36),VLOOKUP(CONCATENATE($C$3,"-",C36),Languages!$A:$D,Summary!$C$7,TRUE),NA())</f>
        <v>Loogisten käyttöoikeuksien hallinta</v>
      </c>
      <c r="E36" s="170"/>
      <c r="F36" s="292"/>
      <c r="G36" s="907"/>
      <c r="H36" s="929"/>
      <c r="I36" s="929"/>
      <c r="J36" s="929"/>
      <c r="K36" s="929"/>
      <c r="L36" s="154"/>
      <c r="M36" s="252"/>
      <c r="N36" s="149"/>
      <c r="O36" s="292"/>
      <c r="P36" s="293"/>
      <c r="Q36" s="293"/>
      <c r="R36" s="293"/>
      <c r="S36" s="293"/>
      <c r="T36" s="154"/>
      <c r="U36" s="252"/>
    </row>
    <row r="37" spans="1:21" s="285" customFormat="1" ht="19.95" customHeight="1" x14ac:dyDescent="0.2">
      <c r="A37" s="304"/>
      <c r="B37" s="279"/>
      <c r="C37" s="280" t="str">
        <f>IF(VLOOKUP("GEN-LEVEL",Languages!$A:$D,1,TRUE)="GEN-LEVEL",VLOOKUP("GEN-LEVEL",Languages!$A:$D,Summary!$C$7,TRUE),NA())</f>
        <v>Taso</v>
      </c>
      <c r="D37" s="280"/>
      <c r="E37" s="281" t="str">
        <f>IF(VLOOKUP("GEN-PRACTICE",Languages!$A:$D,1,TRUE)="GEN-PRACTICE",VLOOKUP("GEN-PRACTICE",Languages!$A:$D,Summary!$C$7,TRUE),NA())</f>
        <v>Käytäntö</v>
      </c>
      <c r="F37" s="282"/>
      <c r="G37" s="904" t="str">
        <f>IF(VLOOKUP("GEN-ANSWER",Languages!$A:$D,1,TRUE)="GEN-ANSWER",VLOOKUP("GEN-ANSWER",Languages!$A:$D,Summary!$C$7,TRUE),NA())</f>
        <v>Vastaus</v>
      </c>
      <c r="H37" s="905" t="str">
        <f>IF(VLOOKUP("KM112",Languages!$A:$D,1,TRUE)="KM112",VLOOKUP("KM112",Languages!$A:$D,Summary!$C$7,TRUE),NA())</f>
        <v>Kommentit</v>
      </c>
      <c r="I37" s="905" t="str">
        <f>IF(VLOOKUP("KM113",Languages!$A:$D,1,TRUE)="KM113",VLOOKUP("KM113",Languages!$A:$D,Summary!$C$7,TRUE),NA())</f>
        <v>Sisäinen viittaus</v>
      </c>
      <c r="J37" s="905" t="str">
        <f>IF(VLOOKUP("KM114",Languages!$A:$D,1,TRUE)="KM114",VLOOKUP("KM114",Languages!$A:$D,Summary!$C$7,TRUE),NA())</f>
        <v>Ulkoinen viittaus</v>
      </c>
      <c r="K37" s="905" t="str">
        <f>IF(VLOOKUP("KM115",Languages!$A:$D,1,TRUE)="KM115",VLOOKUP("KM115",Languages!$A:$D,Summary!$C$7,TRUE),NA())</f>
        <v>Kehityskohde</v>
      </c>
      <c r="L37" s="283"/>
      <c r="M37" s="284"/>
      <c r="N37" s="279"/>
      <c r="O37" s="463" t="str">
        <f>IF(VLOOKUP("GEN-ANSWER",Languages!$A:$D,1,TRUE)="GEN-ANSWER",VLOOKUP("GEN-ANSWER",Languages!$A:$D,Summary!$C$7,TRUE),NA())</f>
        <v>Vastaus</v>
      </c>
      <c r="P37" s="463" t="str">
        <f>IF(VLOOKUP("KM112",Languages!$A:$D,1,TRUE)="KM112",VLOOKUP("KM112",Languages!$A:$D,Summary!$C$7,TRUE),NA())</f>
        <v>Kommentit</v>
      </c>
      <c r="Q37" s="463" t="str">
        <f>IF(VLOOKUP("KM113",Languages!$A:$D,1,TRUE)="KM113",VLOOKUP("KM113",Languages!$A:$D,Summary!$C$7,TRUE),NA())</f>
        <v>Sisäinen viittaus</v>
      </c>
      <c r="R37" s="463" t="str">
        <f>IF(VLOOKUP("KM114",Languages!$A:$D,1,TRUE)="KM114",VLOOKUP("KM114",Languages!$A:$D,Summary!$C$7,TRUE),NA())</f>
        <v>Ulkoinen viittaus</v>
      </c>
      <c r="S37" s="463" t="str">
        <f>IF(VLOOKUP("KM115",Languages!$A:$D,1,TRUE)="KM115",VLOOKUP("KM115",Languages!$A:$D,Summary!$C$7,TRUE),NA())</f>
        <v>Kehityskohde</v>
      </c>
      <c r="T37" s="283"/>
      <c r="U37" s="284"/>
    </row>
    <row r="38" spans="1:21" s="296" customFormat="1" ht="34.950000000000003" customHeight="1" x14ac:dyDescent="0.2">
      <c r="A38" s="305"/>
      <c r="B38" s="1199"/>
      <c r="C38" s="1214">
        <v>1</v>
      </c>
      <c r="D38" s="395" t="s">
        <v>17</v>
      </c>
      <c r="E38" s="467" t="str">
        <f>IF(VLOOKUP(CONCATENATE($C$3,"-",$D38),Languages!$A:$D,1,TRUE)=CONCATENATE($C$3,"-",$D38),VLOOKUP(CONCATENATE($C$3,"-",$D38),Languages!$A:$D,Summary!$C$7,TRUE),NA())</f>
        <v>Loogisten käyttöoikeuksien hallinnan valvontakeinoja on käytössä. Tasolla 1 tämän ei tarvitse olla systemaattista ja säännöllistä.</v>
      </c>
      <c r="F38" s="386">
        <f t="shared" ref="F38:F46" si="1">IFERROR(INT(LEFT($G38,1)),0)</f>
        <v>0</v>
      </c>
      <c r="G38" s="445" t="s">
        <v>2542</v>
      </c>
      <c r="H38" s="446"/>
      <c r="I38" s="446"/>
      <c r="J38" s="446"/>
      <c r="K38" s="447"/>
      <c r="L38" s="154"/>
      <c r="M38" s="252"/>
      <c r="N38" s="149"/>
      <c r="O38" s="889" t="str">
        <f>VLOOKUP(VLOOKUP($C$3&amp;"-"&amp;$D38,Import!$C:$D,2,FALSE),Parameters!$C$18:$F$22,Summary!$C$7,FALSE)</f>
        <v xml:space="preserve">0 - Vastaus puuttuu </v>
      </c>
      <c r="P38" s="931" t="str">
        <f>IF(VLOOKUP($C$3&amp;"-"&amp;$D38,Import!$C:$H,3,FALSE)=0,"",VLOOKUP($C$3&amp;"-"&amp;$D38,Import!$C:$H,3,FALSE))</f>
        <v/>
      </c>
      <c r="Q38" s="931" t="str">
        <f>IF(VLOOKUP($C$3&amp;"-"&amp;$D38,Import!$C:$H,4,FALSE)=0,"",VLOOKUP($C$3&amp;"-"&amp;$D38,Import!$C:$H,4,FALSE))</f>
        <v/>
      </c>
      <c r="R38" s="931" t="str">
        <f>IF(VLOOKUP($C$3&amp;"-"&amp;$D38,Import!$C:$H,5,FALSE)=0,"",VLOOKUP($C$3&amp;"-"&amp;$D38,Import!$C:$H,5,FALSE))</f>
        <v/>
      </c>
      <c r="S38" s="932" t="str">
        <f>IF(VLOOKUP($C$3&amp;"-"&amp;$D38,Import!$C:$H,6,FALSE)=0,"",VLOOKUP($C$3&amp;"-"&amp;$D38,Import!$C:$H,6,FALSE))</f>
        <v/>
      </c>
      <c r="T38" s="154"/>
      <c r="U38" s="252"/>
    </row>
    <row r="39" spans="1:21" s="296" customFormat="1" ht="34.950000000000003" customHeight="1" x14ac:dyDescent="0.2">
      <c r="A39" s="305"/>
      <c r="B39" s="1199"/>
      <c r="C39" s="1215"/>
      <c r="D39" s="396" t="s">
        <v>18</v>
      </c>
      <c r="E39" s="474" t="str">
        <f>IF(VLOOKUP(CONCATENATE($C$3,"-",$D39),Languages!$A:$D,1,TRUE)=CONCATENATE($C$3,"-",$D39),VLOOKUP(CONCATENATE($C$3,"-",$D39),Languages!$A:$D,Summary!$C$7,TRUE),NA())</f>
        <v>Käyttöoikeudet poistetaan, kun niitä ei enää tarvita. Tasolla 1 tämän ei tarvitse olla systemaattista ja säännöllistä.</v>
      </c>
      <c r="F39" s="393">
        <f t="shared" si="1"/>
        <v>0</v>
      </c>
      <c r="G39" s="449" t="s">
        <v>2542</v>
      </c>
      <c r="H39" s="444"/>
      <c r="I39" s="444"/>
      <c r="J39" s="444"/>
      <c r="K39" s="453"/>
      <c r="L39" s="154"/>
      <c r="M39" s="252"/>
      <c r="N39" s="149"/>
      <c r="O39" s="897" t="str">
        <f>VLOOKUP(VLOOKUP($C$3&amp;"-"&amp;$D39,Import!$C:$D,2,FALSE),Parameters!$C$18:$F$22,Summary!$C$7,FALSE)</f>
        <v xml:space="preserve">0 - Vastaus puuttuu </v>
      </c>
      <c r="P39" s="923" t="str">
        <f>IF(VLOOKUP($C$3&amp;"-"&amp;$D39,Import!$C:$H,3,FALSE)=0,"",VLOOKUP($C$3&amp;"-"&amp;$D39,Import!$C:$H,3,FALSE))</f>
        <v/>
      </c>
      <c r="Q39" s="923" t="str">
        <f>IF(VLOOKUP($C$3&amp;"-"&amp;$D39,Import!$C:$H,4,FALSE)=0,"",VLOOKUP($C$3&amp;"-"&amp;$D39,Import!$C:$H,4,FALSE))</f>
        <v/>
      </c>
      <c r="R39" s="923" t="str">
        <f>IF(VLOOKUP($C$3&amp;"-"&amp;$D39,Import!$C:$H,5,FALSE)=0,"",VLOOKUP($C$3&amp;"-"&amp;$D39,Import!$C:$H,5,FALSE))</f>
        <v/>
      </c>
      <c r="S39" s="924" t="str">
        <f>IF(VLOOKUP($C$3&amp;"-"&amp;$D39,Import!$C:$H,6,FALSE)=0,"",VLOOKUP($C$3&amp;"-"&amp;$D39,Import!$C:$H,6,FALSE))</f>
        <v/>
      </c>
      <c r="T39" s="154"/>
      <c r="U39" s="252"/>
    </row>
    <row r="40" spans="1:21" s="296" customFormat="1" ht="72.599999999999994" customHeight="1" x14ac:dyDescent="0.2">
      <c r="A40" s="305"/>
      <c r="B40" s="1199"/>
      <c r="C40" s="1207">
        <v>2</v>
      </c>
      <c r="D40" s="395" t="s">
        <v>19</v>
      </c>
      <c r="E40" s="467" t="str">
        <f>IF(VLOOKUP(CONCATENATE($C$3,"-",$D40),Languages!$A:$D,1,TRUE)=CONCATENATE($C$3,"-",$D40),VLOOKUP(CONCATENATE($C$3,"-",$D40),Languages!$A:$D,Summary!$C$7,TRUE),NA())</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40" s="386">
        <f t="shared" si="1"/>
        <v>0</v>
      </c>
      <c r="G40" s="445" t="s">
        <v>2542</v>
      </c>
      <c r="H40" s="442"/>
      <c r="I40" s="442"/>
      <c r="J40" s="442"/>
      <c r="K40" s="451"/>
      <c r="L40" s="154"/>
      <c r="M40" s="252"/>
      <c r="N40" s="149"/>
      <c r="O40" s="889" t="str">
        <f>VLOOKUP(VLOOKUP($C$3&amp;"-"&amp;$D40,Import!$C:$D,2,FALSE),Parameters!$C$18:$F$22,Summary!$C$7,FALSE)</f>
        <v xml:space="preserve">0 - Vastaus puuttuu </v>
      </c>
      <c r="P40" s="921" t="str">
        <f>IF(VLOOKUP($C$3&amp;"-"&amp;$D40,Import!$C:$H,3,FALSE)=0,"",VLOOKUP($C$3&amp;"-"&amp;$D40,Import!$C:$H,3,FALSE))</f>
        <v/>
      </c>
      <c r="Q40" s="921" t="str">
        <f>IF(VLOOKUP($C$3&amp;"-"&amp;$D40,Import!$C:$H,4,FALSE)=0,"",VLOOKUP($C$3&amp;"-"&amp;$D40,Import!$C:$H,4,FALSE))</f>
        <v/>
      </c>
      <c r="R40" s="921" t="str">
        <f>IF(VLOOKUP($C$3&amp;"-"&amp;$D40,Import!$C:$H,5,FALSE)=0,"",VLOOKUP($C$3&amp;"-"&amp;$D40,Import!$C:$H,5,FALSE))</f>
        <v/>
      </c>
      <c r="S40" s="922" t="str">
        <f>IF(VLOOKUP($C$3&amp;"-"&amp;$D40,Import!$C:$H,6,FALSE)=0,"",VLOOKUP($C$3&amp;"-"&amp;$D40,Import!$C:$H,6,FALSE))</f>
        <v/>
      </c>
      <c r="T40" s="154"/>
      <c r="U40" s="252"/>
    </row>
    <row r="41" spans="1:21" s="296" customFormat="1" ht="34.950000000000003" customHeight="1" x14ac:dyDescent="0.2">
      <c r="A41" s="305"/>
      <c r="B41" s="1199"/>
      <c r="C41" s="1212"/>
      <c r="D41" s="294" t="s">
        <v>20</v>
      </c>
      <c r="E41" s="468" t="str">
        <f>IF(VLOOKUP(CONCATENATE($C$3,"-",$D41),Languages!$A:$D,1,TRUE)=CONCATENATE($C$3,"-",$D41),VLOOKUP(CONCATENATE($C$3,"-",$D41),Languages!$A:$D,Summary!$C$7,TRUE),NA())</f>
        <v>Käyttöoikeuksien vaatimuksissa on huomioitu pienimmän valtuuden periaate (ref. "principle of least privilege").</v>
      </c>
      <c r="F41" s="287">
        <f t="shared" si="1"/>
        <v>0</v>
      </c>
      <c r="G41" s="307" t="s">
        <v>2542</v>
      </c>
      <c r="H41" s="443"/>
      <c r="I41" s="443"/>
      <c r="J41" s="443"/>
      <c r="K41" s="452"/>
      <c r="L41" s="154"/>
      <c r="M41" s="252"/>
      <c r="N41" s="149"/>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54"/>
      <c r="U41" s="252"/>
    </row>
    <row r="42" spans="1:21" s="296" customFormat="1" ht="34.950000000000003" customHeight="1" x14ac:dyDescent="0.2">
      <c r="A42" s="305"/>
      <c r="B42" s="1199"/>
      <c r="C42" s="1212"/>
      <c r="D42" s="294" t="s">
        <v>21</v>
      </c>
      <c r="E42" s="468" t="str">
        <f>IF(VLOOKUP(CONCATENATE($C$3,"-",$D42),Languages!$A:$D,1,TRUE)=CONCATENATE($C$3,"-",$D42),VLOOKUP(CONCATENATE($C$3,"-",$D42),Languages!$A:$D,Summary!$C$7,TRUE),NA())</f>
        <v xml:space="preserve">Käyttöoikeuksien vaatimukset sisältävät tehtävien eriyttämisen periaatteet (ref. "separation of duties"). </v>
      </c>
      <c r="F42" s="287">
        <f t="shared" si="1"/>
        <v>0</v>
      </c>
      <c r="G42" s="307" t="s">
        <v>2542</v>
      </c>
      <c r="H42" s="443"/>
      <c r="I42" s="443"/>
      <c r="J42" s="443"/>
      <c r="K42" s="452"/>
      <c r="L42" s="154"/>
      <c r="M42" s="252"/>
      <c r="N42" s="149"/>
      <c r="O42" s="892" t="str">
        <f>VLOOKUP(VLOOKUP($C$3&amp;"-"&amp;$D42,Import!$C:$D,2,FALSE),Parameters!$C$18:$F$22,Summary!$C$7,FALSE)</f>
        <v xml:space="preserve">0 - Vastaus puuttuu </v>
      </c>
      <c r="P42" s="916" t="str">
        <f>IF(VLOOKUP($C$3&amp;"-"&amp;$D42,Import!$C:$H,3,FALSE)=0,"",VLOOKUP($C$3&amp;"-"&amp;$D42,Import!$C:$H,3,FALSE))</f>
        <v/>
      </c>
      <c r="Q42" s="916" t="str">
        <f>IF(VLOOKUP($C$3&amp;"-"&amp;$D42,Import!$C:$H,4,FALSE)=0,"",VLOOKUP($C$3&amp;"-"&amp;$D42,Import!$C:$H,4,FALSE))</f>
        <v/>
      </c>
      <c r="R42" s="916" t="str">
        <f>IF(VLOOKUP($C$3&amp;"-"&amp;$D42,Import!$C:$H,5,FALSE)=0,"",VLOOKUP($C$3&amp;"-"&amp;$D42,Import!$C:$H,5,FALSE))</f>
        <v/>
      </c>
      <c r="S42" s="917" t="str">
        <f>IF(VLOOKUP($C$3&amp;"-"&amp;$D42,Import!$C:$H,6,FALSE)=0,"",VLOOKUP($C$3&amp;"-"&amp;$D42,Import!$C:$H,6,FALSE))</f>
        <v/>
      </c>
      <c r="T42" s="154"/>
      <c r="U42" s="252"/>
    </row>
    <row r="43" spans="1:21" s="296" customFormat="1" ht="34.950000000000003" customHeight="1" x14ac:dyDescent="0.2">
      <c r="A43" s="305"/>
      <c r="B43" s="1199"/>
      <c r="C43" s="1212"/>
      <c r="D43" s="294" t="s">
        <v>103</v>
      </c>
      <c r="E43" s="468" t="str">
        <f>IF(VLOOKUP(CONCATENATE($C$3,"-",$D43),Languages!$A:$D,1,TRUE)=CONCATENATE($C$3,"-",$D43),VLOOKUP(CONCATENATE($C$3,"-",$D43),Languages!$A:$D,Summary!$C$7,TRUE),NA())</f>
        <v>Käyttöoikeuspyynnöt tarkastaa ja hyväksyy kyseisen laitteen, ohjelmiston tai tietovarannon omistaja.</v>
      </c>
      <c r="F43" s="287">
        <f t="shared" si="1"/>
        <v>0</v>
      </c>
      <c r="G43" s="307" t="s">
        <v>2542</v>
      </c>
      <c r="H43" s="443"/>
      <c r="I43" s="443"/>
      <c r="J43" s="443"/>
      <c r="K43" s="452"/>
      <c r="L43" s="154"/>
      <c r="M43" s="252"/>
      <c r="N43" s="149"/>
      <c r="O43" s="892" t="str">
        <f>VLOOKUP(VLOOKUP($C$3&amp;"-"&amp;$D43,Import!$C:$D,2,FALSE),Parameters!$C$18:$F$22,Summary!$C$7,FALSE)</f>
        <v xml:space="preserve">0 - Vastaus puuttuu </v>
      </c>
      <c r="P43" s="916" t="str">
        <f>IF(VLOOKUP($C$3&amp;"-"&amp;$D43,Import!$C:$H,3,FALSE)=0,"",VLOOKUP($C$3&amp;"-"&amp;$D43,Import!$C:$H,3,FALSE))</f>
        <v/>
      </c>
      <c r="Q43" s="916" t="str">
        <f>IF(VLOOKUP($C$3&amp;"-"&amp;$D43,Import!$C:$H,4,FALSE)=0,"",VLOOKUP($C$3&amp;"-"&amp;$D43,Import!$C:$H,4,FALSE))</f>
        <v/>
      </c>
      <c r="R43" s="916" t="str">
        <f>IF(VLOOKUP($C$3&amp;"-"&amp;$D43,Import!$C:$H,5,FALSE)=0,"",VLOOKUP($C$3&amp;"-"&amp;$D43,Import!$C:$H,5,FALSE))</f>
        <v/>
      </c>
      <c r="S43" s="917" t="str">
        <f>IF(VLOOKUP($C$3&amp;"-"&amp;$D43,Import!$C:$H,6,FALSE)=0,"",VLOOKUP($C$3&amp;"-"&amp;$D43,Import!$C:$H,6,FALSE))</f>
        <v/>
      </c>
      <c r="T43" s="154"/>
      <c r="U43" s="252"/>
    </row>
    <row r="44" spans="1:21" s="296" customFormat="1" ht="34.950000000000003" customHeight="1" x14ac:dyDescent="0.2">
      <c r="A44" s="305"/>
      <c r="B44" s="1199"/>
      <c r="C44" s="1208"/>
      <c r="D44" s="396" t="s">
        <v>165</v>
      </c>
      <c r="E44" s="474" t="str">
        <f>IF(VLOOKUP(CONCATENATE($C$3,"-",$D44),Languages!$A:$D,1,TRUE)=CONCATENATE($C$3,"-",$D44),VLOOKUP(CONCATENATE($C$3,"-",$D44),Languages!$A:$D,Summary!$C$7,TRUE),NA())</f>
        <v>Käyttöoikeudet, joihin liittyy korkeampi riski toiminnalle, tarkastetaan perusteellisemmin ja niiden käyttöä valvotaan tarkemmin.</v>
      </c>
      <c r="F44" s="393">
        <f t="shared" si="1"/>
        <v>0</v>
      </c>
      <c r="G44" s="449" t="s">
        <v>2542</v>
      </c>
      <c r="H44" s="444"/>
      <c r="I44" s="444"/>
      <c r="J44" s="444"/>
      <c r="K44" s="453"/>
      <c r="L44" s="154"/>
      <c r="M44" s="252"/>
      <c r="N44" s="149"/>
      <c r="O44" s="897" t="str">
        <f>VLOOKUP(VLOOKUP($C$3&amp;"-"&amp;$D44,Import!$C:$D,2,FALSE),Parameters!$C$18:$F$22,Summary!$C$7,FALSE)</f>
        <v xml:space="preserve">0 - Vastaus puuttuu </v>
      </c>
      <c r="P44" s="923" t="str">
        <f>IF(VLOOKUP($C$3&amp;"-"&amp;$D44,Import!$C:$H,3,FALSE)=0,"",VLOOKUP($C$3&amp;"-"&amp;$D44,Import!$C:$H,3,FALSE))</f>
        <v/>
      </c>
      <c r="Q44" s="923" t="str">
        <f>IF(VLOOKUP($C$3&amp;"-"&amp;$D44,Import!$C:$H,4,FALSE)=0,"",VLOOKUP($C$3&amp;"-"&amp;$D44,Import!$C:$H,4,FALSE))</f>
        <v/>
      </c>
      <c r="R44" s="923" t="str">
        <f>IF(VLOOKUP($C$3&amp;"-"&amp;$D44,Import!$C:$H,5,FALSE)=0,"",VLOOKUP($C$3&amp;"-"&amp;$D44,Import!$C:$H,5,FALSE))</f>
        <v/>
      </c>
      <c r="S44" s="924" t="str">
        <f>IF(VLOOKUP($C$3&amp;"-"&amp;$D44,Import!$C:$H,6,FALSE)=0,"",VLOOKUP($C$3&amp;"-"&amp;$D44,Import!$C:$H,6,FALSE))</f>
        <v/>
      </c>
      <c r="T44" s="154"/>
      <c r="U44" s="252"/>
    </row>
    <row r="45" spans="1:21" s="296" customFormat="1" ht="60" customHeight="1" x14ac:dyDescent="0.2">
      <c r="A45" s="305"/>
      <c r="B45" s="1199"/>
      <c r="C45" s="1209">
        <v>3</v>
      </c>
      <c r="D45" s="395" t="s">
        <v>167</v>
      </c>
      <c r="E45" s="467" t="str">
        <f>IF(VLOOKUP(CONCATENATE($C$3,"-",$D45),Languages!$A:$D,1,TRUE)=CONCATENATE($C$3,"-",$D45),VLOOKUP(CONCATENATE($C$3,"-",$D45),Languages!$A:$D,Summary!$C$7,TRUE),NA())</f>
        <v>Käyttöoikeudet tarkastetaan ja päivitetään aika ajoin ja määriteltyjen tilanteiden kuten organisaatiorakenteen muuttuessa tai tilapäisen käyttöoikeuksien korotuksen jälkeen.</v>
      </c>
      <c r="F45" s="386">
        <f t="shared" si="1"/>
        <v>0</v>
      </c>
      <c r="G45" s="445" t="s">
        <v>2542</v>
      </c>
      <c r="H45" s="442"/>
      <c r="I45" s="442"/>
      <c r="J45" s="442"/>
      <c r="K45" s="451"/>
      <c r="L45" s="154"/>
      <c r="M45" s="252"/>
      <c r="N45" s="149"/>
      <c r="O45" s="889" t="str">
        <f>VLOOKUP(VLOOKUP($C$3&amp;"-"&amp;$D45,Import!$C:$D,2,FALSE),Parameters!$C$18:$F$22,Summary!$C$7,FALSE)</f>
        <v xml:space="preserve">0 - Vastaus puuttuu </v>
      </c>
      <c r="P45" s="921" t="str">
        <f>IF(VLOOKUP($C$3&amp;"-"&amp;$D45,Import!$C:$H,3,FALSE)=0,"",VLOOKUP($C$3&amp;"-"&amp;$D45,Import!$C:$H,3,FALSE))</f>
        <v/>
      </c>
      <c r="Q45" s="921" t="str">
        <f>IF(VLOOKUP($C$3&amp;"-"&amp;$D45,Import!$C:$H,4,FALSE)=0,"",VLOOKUP($C$3&amp;"-"&amp;$D45,Import!$C:$H,4,FALSE))</f>
        <v/>
      </c>
      <c r="R45" s="921" t="str">
        <f>IF(VLOOKUP($C$3&amp;"-"&amp;$D45,Import!$C:$H,5,FALSE)=0,"",VLOOKUP($C$3&amp;"-"&amp;$D45,Import!$C:$H,5,FALSE))</f>
        <v/>
      </c>
      <c r="S45" s="922" t="str">
        <f>IF(VLOOKUP($C$3&amp;"-"&amp;$D45,Import!$C:$H,6,FALSE)=0,"",VLOOKUP($C$3&amp;"-"&amp;$D45,Import!$C:$H,6,FALSE))</f>
        <v/>
      </c>
      <c r="T45" s="154"/>
      <c r="U45" s="252"/>
    </row>
    <row r="46" spans="1:21" s="296" customFormat="1" ht="46.2" customHeight="1" x14ac:dyDescent="0.2">
      <c r="A46" s="305"/>
      <c r="B46" s="380"/>
      <c r="C46" s="1211"/>
      <c r="D46" s="396" t="s">
        <v>198</v>
      </c>
      <c r="E46" s="474" t="str">
        <f>IF(VLOOKUP(CONCATENATE($C$3,"-",$D46),Languages!$A:$D,1,TRUE)=CONCATENATE($C$3,"-",$D46),VLOOKUP(CONCATENATE($C$3,"-",$D46),Languages!$A:$D,Summary!$C$7,TRUE),NA())</f>
        <v>Kirjautumis- ja yhteydenmuodostusyrityksiä seurataan ja niissä havaitut poikkeavuudet toimivat kybertapahtumien indikaattoreina.</v>
      </c>
      <c r="F46" s="393">
        <f t="shared" si="1"/>
        <v>0</v>
      </c>
      <c r="G46" s="449" t="s">
        <v>2542</v>
      </c>
      <c r="H46" s="444"/>
      <c r="I46" s="444"/>
      <c r="J46" s="444"/>
      <c r="K46" s="453"/>
      <c r="L46" s="154"/>
      <c r="M46" s="252"/>
      <c r="N46" s="149"/>
      <c r="O46" s="897" t="str">
        <f>VLOOKUP(VLOOKUP($C$3&amp;"-"&amp;$D46,Import!$C:$D,2,FALSE),Parameters!$C$18:$F$22,Summary!$C$7,FALSE)</f>
        <v xml:space="preserve">0 - Vastaus puuttuu </v>
      </c>
      <c r="P46" s="923" t="str">
        <f>IF(VLOOKUP($C$3&amp;"-"&amp;$D46,Import!$C:$H,3,FALSE)=0,"",VLOOKUP($C$3&amp;"-"&amp;$D46,Import!$C:$H,3,FALSE))</f>
        <v/>
      </c>
      <c r="Q46" s="923" t="str">
        <f>IF(VLOOKUP($C$3&amp;"-"&amp;$D46,Import!$C:$H,4,FALSE)=0,"",VLOOKUP($C$3&amp;"-"&amp;$D46,Import!$C:$H,4,FALSE))</f>
        <v/>
      </c>
      <c r="R46" s="923" t="str">
        <f>IF(VLOOKUP($C$3&amp;"-"&amp;$D46,Import!$C:$H,5,FALSE)=0,"",VLOOKUP($C$3&amp;"-"&amp;$D46,Import!$C:$H,5,FALSE))</f>
        <v/>
      </c>
      <c r="S46" s="924" t="str">
        <f>IF(VLOOKUP($C$3&amp;"-"&amp;$D46,Import!$C:$H,6,FALSE)=0,"",VLOOKUP($C$3&amp;"-"&amp;$D46,Import!$C:$H,6,FALSE))</f>
        <v/>
      </c>
      <c r="T46" s="154"/>
      <c r="U46" s="252"/>
    </row>
    <row r="47" spans="1:21" s="177" customFormat="1" ht="30" customHeight="1" x14ac:dyDescent="0.25">
      <c r="A47" s="166"/>
      <c r="B47" s="269"/>
      <c r="C47" s="170">
        <v>3</v>
      </c>
      <c r="D47" s="170" t="str">
        <f>IF(VLOOKUP(CONCATENATE($C$3,"-",C47),Languages!$A:$D,1,TRUE)=CONCATENATE($C$3,"-",C47),VLOOKUP(CONCATENATE($C$3,"-",C47),Languages!$A:$D,Summary!$C$7,TRUE),NA())</f>
        <v>Fyysinen pääsynhallinta</v>
      </c>
      <c r="E47" s="170"/>
      <c r="F47" s="292"/>
      <c r="G47" s="907"/>
      <c r="H47" s="929"/>
      <c r="I47" s="929"/>
      <c r="J47" s="929"/>
      <c r="K47" s="929"/>
      <c r="L47" s="154"/>
      <c r="M47" s="252"/>
      <c r="N47" s="149"/>
      <c r="O47" s="292"/>
      <c r="P47" s="293"/>
      <c r="Q47" s="293"/>
      <c r="R47" s="293"/>
      <c r="S47" s="293"/>
      <c r="T47" s="154"/>
      <c r="U47" s="252"/>
    </row>
    <row r="48" spans="1:21" s="285" customFormat="1" ht="19.95" customHeight="1" x14ac:dyDescent="0.2">
      <c r="A48" s="304"/>
      <c r="B48" s="279"/>
      <c r="C48" s="280" t="str">
        <f>IF(VLOOKUP("GEN-LEVEL",Languages!$A:$D,1,TRUE)="GEN-LEVEL",VLOOKUP("GEN-LEVEL",Languages!$A:$D,Summary!$C$7,TRUE),NA())</f>
        <v>Taso</v>
      </c>
      <c r="D48" s="280"/>
      <c r="E48" s="281" t="str">
        <f>IF(VLOOKUP("GEN-PRACTICE",Languages!$A:$D,1,TRUE)="GEN-PRACTICE",VLOOKUP("GEN-PRACTICE",Languages!$A:$D,Summary!$C$7,TRUE),NA())</f>
        <v>Käytäntö</v>
      </c>
      <c r="F48" s="282"/>
      <c r="G48" s="904" t="str">
        <f>IF(VLOOKUP("GEN-ANSWER",Languages!$A:$D,1,TRUE)="GEN-ANSWER",VLOOKUP("GEN-ANSWER",Languages!$A:$D,Summary!$C$7,TRUE),NA())</f>
        <v>Vastaus</v>
      </c>
      <c r="H48" s="905" t="str">
        <f>IF(VLOOKUP("KM112",Languages!$A:$D,1,TRUE)="KM112",VLOOKUP("KM112",Languages!$A:$D,Summary!$C$7,TRUE),NA())</f>
        <v>Kommentit</v>
      </c>
      <c r="I48" s="905" t="str">
        <f>IF(VLOOKUP("KM113",Languages!$A:$D,1,TRUE)="KM113",VLOOKUP("KM113",Languages!$A:$D,Summary!$C$7,TRUE),NA())</f>
        <v>Sisäinen viittaus</v>
      </c>
      <c r="J48" s="905" t="str">
        <f>IF(VLOOKUP("KM114",Languages!$A:$D,1,TRUE)="KM114",VLOOKUP("KM114",Languages!$A:$D,Summary!$C$7,TRUE),NA())</f>
        <v>Ulkoinen viittaus</v>
      </c>
      <c r="K48" s="905" t="str">
        <f>IF(VLOOKUP("KM115",Languages!$A:$D,1,TRUE)="KM115",VLOOKUP("KM115",Languages!$A:$D,Summary!$C$7,TRUE),NA())</f>
        <v>Kehityskohde</v>
      </c>
      <c r="L48" s="283"/>
      <c r="M48" s="284"/>
      <c r="N48" s="279"/>
      <c r="O48" s="463" t="str">
        <f>IF(VLOOKUP("GEN-ANSWER",Languages!$A:$D,1,TRUE)="GEN-ANSWER",VLOOKUP("GEN-ANSWER",Languages!$A:$D,Summary!$C$7,TRUE),NA())</f>
        <v>Vastaus</v>
      </c>
      <c r="P48" s="463" t="str">
        <f>IF(VLOOKUP("KM112",Languages!$A:$D,1,TRUE)="KM112",VLOOKUP("KM112",Languages!$A:$D,Summary!$C$7,TRUE),NA())</f>
        <v>Kommentit</v>
      </c>
      <c r="Q48" s="463" t="str">
        <f>IF(VLOOKUP("KM113",Languages!$A:$D,1,TRUE)="KM113",VLOOKUP("KM113",Languages!$A:$D,Summary!$C$7,TRUE),NA())</f>
        <v>Sisäinen viittaus</v>
      </c>
      <c r="R48" s="463" t="str">
        <f>IF(VLOOKUP("KM114",Languages!$A:$D,1,TRUE)="KM114",VLOOKUP("KM114",Languages!$A:$D,Summary!$C$7,TRUE),NA())</f>
        <v>Ulkoinen viittaus</v>
      </c>
      <c r="S48" s="463" t="str">
        <f>IF(VLOOKUP("KM115",Languages!$A:$D,1,TRUE)="KM115",VLOOKUP("KM115",Languages!$A:$D,Summary!$C$7,TRUE),NA())</f>
        <v>Kehityskohde</v>
      </c>
      <c r="T48" s="283"/>
      <c r="U48" s="284"/>
    </row>
    <row r="49" spans="1:21" s="296" customFormat="1" ht="45" customHeight="1" x14ac:dyDescent="0.2">
      <c r="A49" s="305"/>
      <c r="B49" s="1199"/>
      <c r="C49" s="1214">
        <v>1</v>
      </c>
      <c r="D49" s="395" t="s">
        <v>22</v>
      </c>
      <c r="E49" s="467" t="str">
        <f>IF(VLOOKUP(CONCATENATE($C$3,"-",$D49),Languages!$A:$D,1,TRUE)=CONCATENATE($C$3,"-",$D49),VLOOKUP(CONCATENATE($C$3,"-",$D49),Languages!$A:$D,Summary!$C$7,TRUE),NA())</f>
        <v>Fyysisen pääsynhallinnan valvontakeinoja on käytössä (kuten aitoja, lukkoja tai kylttejä). Tasolla 1 tämän ei tarvitse olla systemaattista ja säännöllistä.</v>
      </c>
      <c r="F49" s="386">
        <f t="shared" ref="F49:F58" si="2">IFERROR(INT(LEFT($G49,1)),0)</f>
        <v>0</v>
      </c>
      <c r="G49" s="445" t="s">
        <v>2542</v>
      </c>
      <c r="H49" s="446"/>
      <c r="I49" s="446"/>
      <c r="J49" s="446"/>
      <c r="K49" s="447"/>
      <c r="L49" s="154"/>
      <c r="M49" s="252"/>
      <c r="N49" s="149"/>
      <c r="O49" s="889" t="str">
        <f>VLOOKUP(VLOOKUP($C$3&amp;"-"&amp;$D49,Import!$C:$D,2,FALSE),Parameters!$C$18:$F$22,Summary!$C$7,FALSE)</f>
        <v xml:space="preserve">0 - Vastaus puuttuu </v>
      </c>
      <c r="P49" s="931" t="str">
        <f>IF(VLOOKUP($C$3&amp;"-"&amp;$D49,Import!$C:$H,3,FALSE)=0,"",VLOOKUP($C$3&amp;"-"&amp;$D49,Import!$C:$H,3,FALSE))</f>
        <v/>
      </c>
      <c r="Q49" s="931" t="str">
        <f>IF(VLOOKUP($C$3&amp;"-"&amp;$D49,Import!$C:$H,4,FALSE)=0,"",VLOOKUP($C$3&amp;"-"&amp;$D49,Import!$C:$H,4,FALSE))</f>
        <v/>
      </c>
      <c r="R49" s="931" t="str">
        <f>IF(VLOOKUP($C$3&amp;"-"&amp;$D49,Import!$C:$H,5,FALSE)=0,"",VLOOKUP($C$3&amp;"-"&amp;$D49,Import!$C:$H,5,FALSE))</f>
        <v/>
      </c>
      <c r="S49" s="932" t="str">
        <f>IF(VLOOKUP($C$3&amp;"-"&amp;$D49,Import!$C:$H,6,FALSE)=0,"",VLOOKUP($C$3&amp;"-"&amp;$D49,Import!$C:$H,6,FALSE))</f>
        <v/>
      </c>
      <c r="T49" s="154"/>
      <c r="U49" s="252"/>
    </row>
    <row r="50" spans="1:21" s="296" customFormat="1" ht="34.950000000000003" customHeight="1" x14ac:dyDescent="0.2">
      <c r="A50" s="305"/>
      <c r="B50" s="1199"/>
      <c r="C50" s="1232"/>
      <c r="D50" s="294" t="s">
        <v>23</v>
      </c>
      <c r="E50" s="468" t="str">
        <f>IF(VLOOKUP(CONCATENATE($C$3,"-",$D50),Languages!$A:$D,1,TRUE)=CONCATENATE($C$3,"-",$D50),VLOOKUP(CONCATENATE($C$3,"-",$D50),Languages!$A:$D,Summary!$C$7,TRUE),NA())</f>
        <v>Pääsyoikeudet poistetaan, kun niitä ei enää tarvita. Tasolla 1 tämän ei tarvitse olla systemaattista ja säännöllistä.</v>
      </c>
      <c r="F50" s="287">
        <f t="shared" si="2"/>
        <v>0</v>
      </c>
      <c r="G50" s="307" t="s">
        <v>2542</v>
      </c>
      <c r="H50" s="443"/>
      <c r="I50" s="443"/>
      <c r="J50" s="443"/>
      <c r="K50" s="452"/>
      <c r="L50" s="154"/>
      <c r="M50" s="252"/>
      <c r="N50" s="149"/>
      <c r="O50" s="892" t="str">
        <f>VLOOKUP(VLOOKUP($C$3&amp;"-"&amp;$D50,Import!$C:$D,2,FALSE),Parameters!$C$18:$F$22,Summary!$C$7,FALSE)</f>
        <v xml:space="preserve">0 - Vastaus puuttuu </v>
      </c>
      <c r="P50" s="916" t="str">
        <f>IF(VLOOKUP($C$3&amp;"-"&amp;$D50,Import!$C:$H,3,FALSE)=0,"",VLOOKUP($C$3&amp;"-"&amp;$D50,Import!$C:$H,3,FALSE))</f>
        <v/>
      </c>
      <c r="Q50" s="916" t="str">
        <f>IF(VLOOKUP($C$3&amp;"-"&amp;$D50,Import!$C:$H,4,FALSE)=0,"",VLOOKUP($C$3&amp;"-"&amp;$D50,Import!$C:$H,4,FALSE))</f>
        <v/>
      </c>
      <c r="R50" s="916" t="str">
        <f>IF(VLOOKUP($C$3&amp;"-"&amp;$D50,Import!$C:$H,5,FALSE)=0,"",VLOOKUP($C$3&amp;"-"&amp;$D50,Import!$C:$H,5,FALSE))</f>
        <v/>
      </c>
      <c r="S50" s="917" t="str">
        <f>IF(VLOOKUP($C$3&amp;"-"&amp;$D50,Import!$C:$H,6,FALSE)=0,"",VLOOKUP($C$3&amp;"-"&amp;$D50,Import!$C:$H,6,FALSE))</f>
        <v/>
      </c>
      <c r="T50" s="154"/>
      <c r="U50" s="252"/>
    </row>
    <row r="51" spans="1:21" s="296" customFormat="1" ht="34.950000000000003" customHeight="1" x14ac:dyDescent="0.2">
      <c r="A51" s="305"/>
      <c r="B51" s="1199"/>
      <c r="C51" s="1215"/>
      <c r="D51" s="396" t="s">
        <v>24</v>
      </c>
      <c r="E51" s="474" t="str">
        <f>IF(VLOOKUP(CONCATENATE($C$3,"-",$D51),Languages!$A:$D,1,TRUE)=CONCATENATE($C$3,"-",$D51),VLOOKUP(CONCATENATE($C$3,"-",$D51),Languages!$A:$D,Summary!$C$7,TRUE),NA())</f>
        <v>Pääsyoikeuksien käytöstä pidetään lokia. Tasolla 1 tämän ei tarvitse olla systemaattista ja säännöllistä.</v>
      </c>
      <c r="F51" s="393">
        <f t="shared" si="2"/>
        <v>0</v>
      </c>
      <c r="G51" s="449" t="s">
        <v>2542</v>
      </c>
      <c r="H51" s="444"/>
      <c r="I51" s="444"/>
      <c r="J51" s="444"/>
      <c r="K51" s="453"/>
      <c r="L51" s="154"/>
      <c r="M51" s="252"/>
      <c r="N51" s="149"/>
      <c r="O51" s="897" t="str">
        <f>VLOOKUP(VLOOKUP($C$3&amp;"-"&amp;$D51,Import!$C:$D,2,FALSE),Parameters!$C$18:$F$22,Summary!$C$7,FALSE)</f>
        <v xml:space="preserve">0 - Vastaus puuttuu </v>
      </c>
      <c r="P51" s="923" t="str">
        <f>IF(VLOOKUP($C$3&amp;"-"&amp;$D51,Import!$C:$H,3,FALSE)=0,"",VLOOKUP($C$3&amp;"-"&amp;$D51,Import!$C:$H,3,FALSE))</f>
        <v/>
      </c>
      <c r="Q51" s="923" t="str">
        <f>IF(VLOOKUP($C$3&amp;"-"&amp;$D51,Import!$C:$H,4,FALSE)=0,"",VLOOKUP($C$3&amp;"-"&amp;$D51,Import!$C:$H,4,FALSE))</f>
        <v/>
      </c>
      <c r="R51" s="923" t="str">
        <f>IF(VLOOKUP($C$3&amp;"-"&amp;$D51,Import!$C:$H,5,FALSE)=0,"",VLOOKUP($C$3&amp;"-"&amp;$D51,Import!$C:$H,5,FALSE))</f>
        <v/>
      </c>
      <c r="S51" s="924" t="str">
        <f>IF(VLOOKUP($C$3&amp;"-"&amp;$D51,Import!$C:$H,6,FALSE)=0,"",VLOOKUP($C$3&amp;"-"&amp;$D51,Import!$C:$H,6,FALSE))</f>
        <v/>
      </c>
      <c r="T51" s="154"/>
      <c r="U51" s="252"/>
    </row>
    <row r="52" spans="1:21" s="296" customFormat="1" ht="45" customHeight="1" x14ac:dyDescent="0.2">
      <c r="A52" s="305"/>
      <c r="B52" s="1199"/>
      <c r="C52" s="1207">
        <v>2</v>
      </c>
      <c r="D52" s="395" t="s">
        <v>25</v>
      </c>
      <c r="E52" s="467" t="str">
        <f>IF(VLOOKUP(CONCATENATE($C$3,"-",$D52),Languages!$A:$D,1,TRUE)=CONCATENATE($C$3,"-",$D52),VLOOKUP(CONCATENATE($C$3,"-",$D52),Languages!$A:$D,Summary!$C$7,TRUE),NA())</f>
        <v>Pääsyoikeuksille on asetettu vaatimukset, joita myös ylläpidetään (esimerkiksi sääntöjä siitä, kenelle pääsy voidaan myöntää, millä tavoin pääsyoikeudet myönnetään tai missä rajoissa pääsy sallitaan).</v>
      </c>
      <c r="F52" s="386">
        <f t="shared" si="2"/>
        <v>0</v>
      </c>
      <c r="G52" s="445" t="s">
        <v>2542</v>
      </c>
      <c r="H52" s="442"/>
      <c r="I52" s="442"/>
      <c r="J52" s="442"/>
      <c r="K52" s="451"/>
      <c r="L52" s="154"/>
      <c r="M52" s="252"/>
      <c r="N52" s="149"/>
      <c r="O52" s="889" t="str">
        <f>VLOOKUP(VLOOKUP($C$3&amp;"-"&amp;$D52,Import!$C:$D,2,FALSE),Parameters!$C$18:$F$22,Summary!$C$7,FALSE)</f>
        <v xml:space="preserve">0 - Vastaus puuttuu </v>
      </c>
      <c r="P52" s="921" t="str">
        <f>IF(VLOOKUP($C$3&amp;"-"&amp;$D52,Import!$C:$H,3,FALSE)=0,"",VLOOKUP($C$3&amp;"-"&amp;$D52,Import!$C:$H,3,FALSE))</f>
        <v/>
      </c>
      <c r="Q52" s="921" t="str">
        <f>IF(VLOOKUP($C$3&amp;"-"&amp;$D52,Import!$C:$H,4,FALSE)=0,"",VLOOKUP($C$3&amp;"-"&amp;$D52,Import!$C:$H,4,FALSE))</f>
        <v/>
      </c>
      <c r="R52" s="921" t="str">
        <f>IF(VLOOKUP($C$3&amp;"-"&amp;$D52,Import!$C:$H,5,FALSE)=0,"",VLOOKUP($C$3&amp;"-"&amp;$D52,Import!$C:$H,5,FALSE))</f>
        <v/>
      </c>
      <c r="S52" s="922" t="str">
        <f>IF(VLOOKUP($C$3&amp;"-"&amp;$D52,Import!$C:$H,6,FALSE)=0,"",VLOOKUP($C$3&amp;"-"&amp;$D52,Import!$C:$H,6,FALSE))</f>
        <v/>
      </c>
      <c r="T52" s="154"/>
      <c r="U52" s="252"/>
    </row>
    <row r="53" spans="1:21" s="296" customFormat="1" ht="34.950000000000003" customHeight="1" x14ac:dyDescent="0.2">
      <c r="A53" s="305"/>
      <c r="B53" s="1199"/>
      <c r="C53" s="1212"/>
      <c r="D53" s="294" t="s">
        <v>26</v>
      </c>
      <c r="E53" s="468" t="str">
        <f>IF(VLOOKUP(CONCATENATE($C$3,"-",$D53),Languages!$A:$D,1,TRUE)=CONCATENATE($C$3,"-",$D53),VLOOKUP(CONCATENATE($C$3,"-",$D53),Languages!$A:$D,Summary!$C$7,TRUE),NA())</f>
        <v>Pääsyoikeuksien vaatimuksissa on huomioitu pienimmän valtuuden periaate (ref. "principle of least privilege").</v>
      </c>
      <c r="F53" s="287">
        <f t="shared" si="2"/>
        <v>0</v>
      </c>
      <c r="G53" s="307" t="s">
        <v>2542</v>
      </c>
      <c r="H53" s="443"/>
      <c r="I53" s="443"/>
      <c r="J53" s="443"/>
      <c r="K53" s="452"/>
      <c r="L53" s="154"/>
      <c r="M53" s="252"/>
      <c r="N53" s="149"/>
      <c r="O53" s="892" t="str">
        <f>VLOOKUP(VLOOKUP($C$3&amp;"-"&amp;$D53,Import!$C:$D,2,FALSE),Parameters!$C$18:$F$22,Summary!$C$7,FALSE)</f>
        <v xml:space="preserve">0 - Vastaus puuttuu </v>
      </c>
      <c r="P53" s="916" t="str">
        <f>IF(VLOOKUP($C$3&amp;"-"&amp;$D53,Import!$C:$H,3,FALSE)=0,"",VLOOKUP($C$3&amp;"-"&amp;$D53,Import!$C:$H,3,FALSE))</f>
        <v/>
      </c>
      <c r="Q53" s="916" t="str">
        <f>IF(VLOOKUP($C$3&amp;"-"&amp;$D53,Import!$C:$H,4,FALSE)=0,"",VLOOKUP($C$3&amp;"-"&amp;$D53,Import!$C:$H,4,FALSE))</f>
        <v/>
      </c>
      <c r="R53" s="916" t="str">
        <f>IF(VLOOKUP($C$3&amp;"-"&amp;$D53,Import!$C:$H,5,FALSE)=0,"",VLOOKUP($C$3&amp;"-"&amp;$D53,Import!$C:$H,5,FALSE))</f>
        <v/>
      </c>
      <c r="S53" s="917" t="str">
        <f>IF(VLOOKUP($C$3&amp;"-"&amp;$D53,Import!$C:$H,6,FALSE)=0,"",VLOOKUP($C$3&amp;"-"&amp;$D53,Import!$C:$H,6,FALSE))</f>
        <v/>
      </c>
      <c r="T53" s="154"/>
      <c r="U53" s="252"/>
    </row>
    <row r="54" spans="1:21" s="296" customFormat="1" ht="34.950000000000003" customHeight="1" x14ac:dyDescent="0.2">
      <c r="A54" s="305"/>
      <c r="B54" s="1199"/>
      <c r="C54" s="1212"/>
      <c r="D54" s="294" t="s">
        <v>27</v>
      </c>
      <c r="E54" s="468" t="str">
        <f>IF(VLOOKUP(CONCATENATE($C$3,"-",$D54),Languages!$A:$D,1,TRUE)=CONCATENATE($C$3,"-",$D54),VLOOKUP(CONCATENATE($C$3,"-",$D54),Languages!$A:$D,Summary!$C$7,TRUE),NA())</f>
        <v xml:space="preserve">Pääsynhallinnan vaatimuksissa on huomioitu tehtävien eriyttämisen periaatteet (ref. "separation of duties"). </v>
      </c>
      <c r="F54" s="287">
        <f t="shared" si="2"/>
        <v>0</v>
      </c>
      <c r="G54" s="307" t="s">
        <v>2542</v>
      </c>
      <c r="H54" s="443"/>
      <c r="I54" s="443"/>
      <c r="J54" s="443"/>
      <c r="K54" s="452"/>
      <c r="L54" s="154"/>
      <c r="M54" s="252"/>
      <c r="N54" s="149"/>
      <c r="O54" s="892" t="str">
        <f>VLOOKUP(VLOOKUP($C$3&amp;"-"&amp;$D54,Import!$C:$D,2,FALSE),Parameters!$C$18:$F$22,Summary!$C$7,FALSE)</f>
        <v xml:space="preserve">0 - Vastaus puuttuu </v>
      </c>
      <c r="P54" s="916" t="str">
        <f>IF(VLOOKUP($C$3&amp;"-"&amp;$D54,Import!$C:$H,3,FALSE)=0,"",VLOOKUP($C$3&amp;"-"&amp;$D54,Import!$C:$H,3,FALSE))</f>
        <v/>
      </c>
      <c r="Q54" s="916" t="str">
        <f>IF(VLOOKUP($C$3&amp;"-"&amp;$D54,Import!$C:$H,4,FALSE)=0,"",VLOOKUP($C$3&amp;"-"&amp;$D54,Import!$C:$H,4,FALSE))</f>
        <v/>
      </c>
      <c r="R54" s="916" t="str">
        <f>IF(VLOOKUP($C$3&amp;"-"&amp;$D54,Import!$C:$H,5,FALSE)=0,"",VLOOKUP($C$3&amp;"-"&amp;$D54,Import!$C:$H,5,FALSE))</f>
        <v/>
      </c>
      <c r="S54" s="917" t="str">
        <f>IF(VLOOKUP($C$3&amp;"-"&amp;$D54,Import!$C:$H,6,FALSE)=0,"",VLOOKUP($C$3&amp;"-"&amp;$D54,Import!$C:$H,6,FALSE))</f>
        <v/>
      </c>
      <c r="T54" s="154"/>
      <c r="U54" s="252"/>
    </row>
    <row r="55" spans="1:21" s="296" customFormat="1" ht="34.950000000000003" customHeight="1" x14ac:dyDescent="0.2">
      <c r="A55" s="305"/>
      <c r="B55" s="1199"/>
      <c r="C55" s="1212"/>
      <c r="D55" s="396" t="s">
        <v>28</v>
      </c>
      <c r="E55" s="474" t="str">
        <f>IF(VLOOKUP(CONCATENATE($C$3,"-",$D55),Languages!$A:$D,1,TRUE)=CONCATENATE($C$3,"-",$D55),VLOOKUP(CONCATENATE($C$3,"-",$D55),Languages!$A:$D,Summary!$C$7,TRUE),NA())</f>
        <v>Pääsyoikeuspyynnöt tarkastaa ja hyväksyy kyseisen tilan, laitteen, ohjelmiston tai tietovarannon omistaja.</v>
      </c>
      <c r="F55" s="393">
        <f t="shared" si="2"/>
        <v>0</v>
      </c>
      <c r="G55" s="449" t="s">
        <v>2542</v>
      </c>
      <c r="H55" s="444"/>
      <c r="I55" s="444"/>
      <c r="J55" s="444"/>
      <c r="K55" s="453"/>
      <c r="L55" s="154"/>
      <c r="M55" s="252"/>
      <c r="N55" s="149"/>
      <c r="O55" s="897" t="str">
        <f>VLOOKUP(VLOOKUP($C$3&amp;"-"&amp;$D55,Import!$C:$D,2,FALSE),Parameters!$C$18:$F$22,Summary!$C$7,FALSE)</f>
        <v xml:space="preserve">0 - Vastaus puuttuu </v>
      </c>
      <c r="P55" s="923" t="str">
        <f>IF(VLOOKUP($C$3&amp;"-"&amp;$D55,Import!$C:$H,3,FALSE)=0,"",VLOOKUP($C$3&amp;"-"&amp;$D55,Import!$C:$H,3,FALSE))</f>
        <v/>
      </c>
      <c r="Q55" s="923" t="str">
        <f>IF(VLOOKUP($C$3&amp;"-"&amp;$D55,Import!$C:$H,4,FALSE)=0,"",VLOOKUP($C$3&amp;"-"&amp;$D55,Import!$C:$H,4,FALSE))</f>
        <v/>
      </c>
      <c r="R55" s="923" t="str">
        <f>IF(VLOOKUP($C$3&amp;"-"&amp;$D55,Import!$C:$H,5,FALSE)=0,"",VLOOKUP($C$3&amp;"-"&amp;$D55,Import!$C:$H,5,FALSE))</f>
        <v/>
      </c>
      <c r="S55" s="924" t="str">
        <f>IF(VLOOKUP($C$3&amp;"-"&amp;$D55,Import!$C:$H,6,FALSE)=0,"",VLOOKUP($C$3&amp;"-"&amp;$D55,Import!$C:$H,6,FALSE))</f>
        <v/>
      </c>
      <c r="T55" s="154"/>
      <c r="U55" s="252"/>
    </row>
    <row r="56" spans="1:21" s="296" customFormat="1" ht="34.950000000000003" customHeight="1" x14ac:dyDescent="0.2">
      <c r="A56" s="305"/>
      <c r="B56" s="1199"/>
      <c r="C56" s="1212"/>
      <c r="D56" s="397" t="s">
        <v>232</v>
      </c>
      <c r="E56" s="473" t="str">
        <f>IF(VLOOKUP(CONCATENATE($C$3,"-",$D56),Languages!$A:$D,1,TRUE)=CONCATENATE($C$3,"-",$D56),VLOOKUP(CONCATENATE($C$3,"-",$D56),Languages!$A:$D,Summary!$C$7,TRUE),NA())</f>
        <v>Pääsyoikeudet, joihin liittyy korkeampi riski, tarkastetaan perusteellisemmin ja niiden käyttöä valvotaan tarkemmin.</v>
      </c>
      <c r="F56" s="398">
        <f t="shared" si="2"/>
        <v>0</v>
      </c>
      <c r="G56" s="488" t="s">
        <v>2542</v>
      </c>
      <c r="H56" s="1041"/>
      <c r="I56" s="1041"/>
      <c r="J56" s="1041"/>
      <c r="K56" s="1042"/>
      <c r="L56" s="154"/>
      <c r="M56" s="252"/>
      <c r="N56" s="149"/>
      <c r="O56" s="936" t="str">
        <f>VLOOKUP(VLOOKUP($C$3&amp;"-"&amp;$D56,Import!$C:$D,2,FALSE),Parameters!$C$18:$F$22,Summary!$C$7,FALSE)</f>
        <v xml:space="preserve">0 - Vastaus puuttuu </v>
      </c>
      <c r="P56" s="1043" t="str">
        <f>IF(VLOOKUP($C$3&amp;"-"&amp;$D56,Import!$C:$H,3,FALSE)=0,"",VLOOKUP($C$3&amp;"-"&amp;$D56,Import!$C:$H,3,FALSE))</f>
        <v/>
      </c>
      <c r="Q56" s="1043" t="str">
        <f>IF(VLOOKUP($C$3&amp;"-"&amp;$D56,Import!$C:$H,4,FALSE)=0,"",VLOOKUP($C$3&amp;"-"&amp;$D56,Import!$C:$H,4,FALSE))</f>
        <v/>
      </c>
      <c r="R56" s="1043" t="str">
        <f>IF(VLOOKUP($C$3&amp;"-"&amp;$D56,Import!$C:$H,5,FALSE)=0,"",VLOOKUP($C$3&amp;"-"&amp;$D56,Import!$C:$H,5,FALSE))</f>
        <v/>
      </c>
      <c r="S56" s="1044" t="str">
        <f>IF(VLOOKUP($C$3&amp;"-"&amp;$D56,Import!$C:$H,6,FALSE)=0,"",VLOOKUP($C$3&amp;"-"&amp;$D56,Import!$C:$H,6,FALSE))</f>
        <v/>
      </c>
      <c r="T56" s="154"/>
      <c r="U56" s="252"/>
    </row>
    <row r="57" spans="1:21" s="296" customFormat="1" ht="34.950000000000003" customHeight="1" x14ac:dyDescent="0.2">
      <c r="A57" s="305"/>
      <c r="B57" s="1013"/>
      <c r="C57" s="1209">
        <v>3</v>
      </c>
      <c r="D57" s="397" t="s">
        <v>264</v>
      </c>
      <c r="E57" s="466" t="str">
        <f>IF(VLOOKUP(CONCATENATE($C$3,"-",$D57),Languages!$A:$D,1,TRUE)=CONCATENATE($C$3,"-",$D57),VLOOKUP(CONCATENATE($C$3,"-",$D57),Languages!$A:$D,Summary!$C$7,TRUE),NA())</f>
        <v>Pääsyoikeudet tarkastetaan ja päivitetään aika ajoin.</v>
      </c>
      <c r="F57" s="386">
        <f t="shared" si="2"/>
        <v>0</v>
      </c>
      <c r="G57" s="488" t="s">
        <v>2542</v>
      </c>
      <c r="H57" s="1041"/>
      <c r="I57" s="1041"/>
      <c r="J57" s="1041"/>
      <c r="K57" s="1042"/>
      <c r="L57" s="154"/>
      <c r="M57" s="252"/>
      <c r="N57" s="149"/>
      <c r="O57" s="889" t="str">
        <f>VLOOKUP(VLOOKUP($C$3&amp;"-"&amp;$D57,Import!$C:$D,2,FALSE),Parameters!$C$18:$F$22,Summary!$C$7,FALSE)</f>
        <v xml:space="preserve">0 - Vastaus puuttuu </v>
      </c>
      <c r="P57" s="1043" t="str">
        <f>IF(VLOOKUP($C$3&amp;"-"&amp;$D57,Import!$C:$H,3,FALSE)=0,"",VLOOKUP($C$3&amp;"-"&amp;$D57,Import!$C:$H,3,FALSE))</f>
        <v/>
      </c>
      <c r="Q57" s="1043" t="str">
        <f>IF(VLOOKUP($C$3&amp;"-"&amp;$D57,Import!$C:$H,4,FALSE)=0,"",VLOOKUP($C$3&amp;"-"&amp;$D57,Import!$C:$H,4,FALSE))</f>
        <v/>
      </c>
      <c r="R57" s="1043" t="str">
        <f>IF(VLOOKUP($C$3&amp;"-"&amp;$D57,Import!$C:$H,5,FALSE)=0,"",VLOOKUP($C$3&amp;"-"&amp;$D57,Import!$C:$H,5,FALSE))</f>
        <v/>
      </c>
      <c r="S57" s="1044" t="str">
        <f>IF(VLOOKUP($C$3&amp;"-"&amp;$D57,Import!$C:$H,6,FALSE)=0,"",VLOOKUP($C$3&amp;"-"&amp;$D57,Import!$C:$H,6,FALSE))</f>
        <v/>
      </c>
      <c r="T57" s="154"/>
      <c r="U57" s="252"/>
    </row>
    <row r="58" spans="1:21" s="296" customFormat="1" ht="34.950000000000003" customHeight="1" x14ac:dyDescent="0.2">
      <c r="A58" s="305"/>
      <c r="B58" s="380"/>
      <c r="C58" s="1211"/>
      <c r="D58" s="396" t="s">
        <v>266</v>
      </c>
      <c r="E58" s="474" t="str">
        <f>IF(VLOOKUP(CONCATENATE($C$3,"-",$D58),Languages!$A:$D,1,TRUE)=CONCATENATE($C$3,"-",$D58),VLOOKUP(CONCATENATE($C$3,"-",$D58),Languages!$A:$D,Summary!$C$7,TRUE),NA())</f>
        <v>Pääsyoikeuksien käyttöä seurataan ja niistä pyritään tunnistamaan mahdollisia kybertapahtumia.</v>
      </c>
      <c r="F58" s="393">
        <f t="shared" si="2"/>
        <v>0</v>
      </c>
      <c r="G58" s="449" t="s">
        <v>2542</v>
      </c>
      <c r="H58" s="444"/>
      <c r="I58" s="444"/>
      <c r="J58" s="444"/>
      <c r="K58" s="453"/>
      <c r="L58" s="154"/>
      <c r="M58" s="252"/>
      <c r="N58" s="149"/>
      <c r="O58" s="897" t="str">
        <f>VLOOKUP(VLOOKUP($C$3&amp;"-"&amp;$D58,Import!$C:$D,2,FALSE),Parameters!$C$18:$F$22,Summary!$C$7,FALSE)</f>
        <v xml:space="preserve">0 - Vastaus puuttuu </v>
      </c>
      <c r="P58" s="923" t="str">
        <f>IF(VLOOKUP($C$3&amp;"-"&amp;$D58,Import!$C:$H,3,FALSE)=0,"",VLOOKUP($C$3&amp;"-"&amp;$D58,Import!$C:$H,3,FALSE))</f>
        <v/>
      </c>
      <c r="Q58" s="923" t="str">
        <f>IF(VLOOKUP($C$3&amp;"-"&amp;$D58,Import!$C:$H,4,FALSE)=0,"",VLOOKUP($C$3&amp;"-"&amp;$D58,Import!$C:$H,4,FALSE))</f>
        <v/>
      </c>
      <c r="R58" s="923" t="str">
        <f>IF(VLOOKUP($C$3&amp;"-"&amp;$D58,Import!$C:$H,5,FALSE)=0,"",VLOOKUP($C$3&amp;"-"&amp;$D58,Import!$C:$H,5,FALSE))</f>
        <v/>
      </c>
      <c r="S58" s="924" t="str">
        <f>IF(VLOOKUP($C$3&amp;"-"&amp;$D58,Import!$C:$H,6,FALSE)=0,"",VLOOKUP($C$3&amp;"-"&amp;$D58,Import!$C:$H,6,FALSE))</f>
        <v/>
      </c>
      <c r="T58" s="154"/>
      <c r="U58" s="252"/>
    </row>
    <row r="59" spans="1:21" s="177" customFormat="1" ht="30" customHeight="1" x14ac:dyDescent="0.25">
      <c r="A59" s="166"/>
      <c r="B59" s="269"/>
      <c r="C59" s="170">
        <v>4</v>
      </c>
      <c r="D59" s="170" t="str">
        <f>IF(VLOOKUP(CONCATENATE($C$3,"-",C59),Languages!$A:$D,1,TRUE)=CONCATENATE($C$3,"-",C59),VLOOKUP(CONCATENATE($C$3,"-",C59),Languages!$A:$D,Summary!$C$7,TRUE),NA())</f>
        <v>Yleisiä hallintatoimia</v>
      </c>
      <c r="E59" s="170"/>
      <c r="F59" s="292"/>
      <c r="G59" s="907"/>
      <c r="H59" s="929"/>
      <c r="I59" s="929"/>
      <c r="J59" s="929"/>
      <c r="K59" s="929"/>
      <c r="L59" s="154"/>
      <c r="M59" s="252"/>
      <c r="N59" s="149"/>
      <c r="O59" s="292"/>
      <c r="P59" s="293"/>
      <c r="Q59" s="293"/>
      <c r="R59" s="293"/>
      <c r="S59" s="293"/>
      <c r="T59" s="154"/>
      <c r="U59" s="252"/>
    </row>
    <row r="60" spans="1:21" s="285" customFormat="1" ht="19.95" customHeight="1" x14ac:dyDescent="0.2">
      <c r="A60" s="304"/>
      <c r="B60" s="279"/>
      <c r="C60" s="280" t="str">
        <f>IF(VLOOKUP("GEN-LEVEL",Languages!$A:$D,1,TRUE)="GEN-LEVEL",VLOOKUP("GEN-LEVEL",Languages!$A:$D,Summary!$C$7,TRUE),NA())</f>
        <v>Taso</v>
      </c>
      <c r="D60" s="280"/>
      <c r="E60" s="281" t="str">
        <f>IF(VLOOKUP("GEN-PRACTICE",Languages!$A:$D,1,TRUE)="GEN-PRACTICE",VLOOKUP("GEN-PRACTICE",Languages!$A:$D,Summary!$C$7,TRUE),NA())</f>
        <v>Käytäntö</v>
      </c>
      <c r="F60" s="282"/>
      <c r="G60" s="904" t="str">
        <f>IF(VLOOKUP("GEN-ANSWER",Languages!$A:$D,1,TRUE)="GEN-ANSWER",VLOOKUP("GEN-ANSWER",Languages!$A:$D,Summary!$C$7,TRUE),NA())</f>
        <v>Vastaus</v>
      </c>
      <c r="H60" s="905" t="str">
        <f>IF(VLOOKUP("KM112",Languages!$A:$D,1,TRUE)="KM112",VLOOKUP("KM112",Languages!$A:$D,Summary!$C$7,TRUE),NA())</f>
        <v>Kommentit</v>
      </c>
      <c r="I60" s="905" t="str">
        <f>IF(VLOOKUP("KM113",Languages!$A:$D,1,TRUE)="KM113",VLOOKUP("KM113",Languages!$A:$D,Summary!$C$7,TRUE),NA())</f>
        <v>Sisäinen viittaus</v>
      </c>
      <c r="J60" s="905" t="str">
        <f>IF(VLOOKUP("KM114",Languages!$A:$D,1,TRUE)="KM114",VLOOKUP("KM114",Languages!$A:$D,Summary!$C$7,TRUE),NA())</f>
        <v>Ulkoinen viittaus</v>
      </c>
      <c r="K60" s="905" t="str">
        <f>IF(VLOOKUP("KM115",Languages!$A:$D,1,TRUE)="KM115",VLOOKUP("KM115",Languages!$A:$D,Summary!$C$7,TRUE),NA())</f>
        <v>Kehityskohde</v>
      </c>
      <c r="L60" s="283"/>
      <c r="M60" s="284"/>
      <c r="N60" s="279"/>
      <c r="O60" s="463" t="str">
        <f>IF(VLOOKUP("GEN-ANSWER",Languages!$A:$D,1,TRUE)="GEN-ANSWER",VLOOKUP("GEN-ANSWER",Languages!$A:$D,Summary!$C$7,TRUE),NA())</f>
        <v>Vastaus</v>
      </c>
      <c r="P60" s="463" t="str">
        <f>IF(VLOOKUP("KM112",Languages!$A:$D,1,TRUE)="KM112",VLOOKUP("KM112",Languages!$A:$D,Summary!$C$7,TRUE),NA())</f>
        <v>Kommentit</v>
      </c>
      <c r="Q60" s="463" t="str">
        <f>IF(VLOOKUP("KM113",Languages!$A:$D,1,TRUE)="KM113",VLOOKUP("KM113",Languages!$A:$D,Summary!$C$7,TRUE),NA())</f>
        <v>Sisäinen viittaus</v>
      </c>
      <c r="R60" s="463" t="str">
        <f>IF(VLOOKUP("KM114",Languages!$A:$D,1,TRUE)="KM114",VLOOKUP("KM114",Languages!$A:$D,Summary!$C$7,TRUE),NA())</f>
        <v>Ulkoinen viittaus</v>
      </c>
      <c r="S60" s="463" t="str">
        <f>IF(VLOOKUP("KM115",Languages!$A:$D,1,TRUE)="KM115",VLOOKUP("KM115",Languages!$A:$D,Summary!$C$7,TRUE),NA())</f>
        <v>Kehityskohde</v>
      </c>
      <c r="T60" s="283"/>
      <c r="U60" s="284"/>
    </row>
    <row r="61" spans="1:21" s="311" customFormat="1" ht="19.95" customHeight="1" x14ac:dyDescent="0.2">
      <c r="A61" s="284"/>
      <c r="B61" s="279"/>
      <c r="C61" s="457">
        <v>1</v>
      </c>
      <c r="D61" s="401"/>
      <c r="E61" s="402"/>
      <c r="F61" s="404"/>
      <c r="G61" s="908"/>
      <c r="H61" s="909"/>
      <c r="I61" s="909"/>
      <c r="J61" s="909"/>
      <c r="K61" s="910"/>
      <c r="L61" s="154"/>
      <c r="M61" s="252"/>
      <c r="N61" s="149"/>
      <c r="O61" s="517"/>
      <c r="P61" s="403"/>
      <c r="Q61" s="403"/>
      <c r="R61" s="403"/>
      <c r="S61" s="405"/>
      <c r="T61" s="154"/>
      <c r="U61" s="252"/>
    </row>
    <row r="62" spans="1:21" s="296" customFormat="1" ht="34.950000000000003" customHeight="1" x14ac:dyDescent="0.2">
      <c r="A62" s="305"/>
      <c r="B62" s="1199"/>
      <c r="C62" s="1207">
        <v>2</v>
      </c>
      <c r="D62" s="395" t="s">
        <v>117</v>
      </c>
      <c r="E62" s="467" t="str">
        <f>IF(VLOOKUP(CONCATENATE($C$3,"-",$D62),Languages!$A:$D,1,TRUE)=CONCATENATE($C$3,"-",$D62),VLOOKUP(CONCATENATE($C$3,"-",$D62),Languages!$A:$D,Summary!$C$7,TRUE),NA())</f>
        <v>ACCESS-osion toimintaa varten on määritetty dokumentoidut toimintatavat, joita noudatetaan ja päivitetään säännöllisesti.</v>
      </c>
      <c r="F62" s="386">
        <f t="shared" ref="F62:F67" si="3">IFERROR(INT(LEFT($G62,1)),0)</f>
        <v>0</v>
      </c>
      <c r="G62" s="445" t="s">
        <v>2542</v>
      </c>
      <c r="H62" s="442"/>
      <c r="I62" s="442"/>
      <c r="J62" s="442"/>
      <c r="K62" s="451"/>
      <c r="L62" s="154"/>
      <c r="M62" s="252"/>
      <c r="N62" s="149"/>
      <c r="O62" s="889" t="str">
        <f>VLOOKUP(VLOOKUP($C$3&amp;"-"&amp;$D62,Import!$C:$D,2,FALSE),Parameters!$C$18:$F$22,Summary!$C$7,FALSE)</f>
        <v xml:space="preserve">0 - Vastaus puuttuu </v>
      </c>
      <c r="P62" s="921" t="str">
        <f>IF(VLOOKUP($C$3&amp;"-"&amp;$D62,Import!$C:$H,3,FALSE)=0,"",VLOOKUP($C$3&amp;"-"&amp;$D62,Import!$C:$H,3,FALSE))</f>
        <v/>
      </c>
      <c r="Q62" s="921" t="str">
        <f>IF(VLOOKUP($C$3&amp;"-"&amp;$D62,Import!$C:$H,4,FALSE)=0,"",VLOOKUP($C$3&amp;"-"&amp;$D62,Import!$C:$H,4,FALSE))</f>
        <v/>
      </c>
      <c r="R62" s="921" t="str">
        <f>IF(VLOOKUP($C$3&amp;"-"&amp;$D62,Import!$C:$H,5,FALSE)=0,"",VLOOKUP($C$3&amp;"-"&amp;$D62,Import!$C:$H,5,FALSE))</f>
        <v/>
      </c>
      <c r="S62" s="922" t="str">
        <f>IF(VLOOKUP($C$3&amp;"-"&amp;$D62,Import!$C:$H,6,FALSE)=0,"",VLOOKUP($C$3&amp;"-"&amp;$D62,Import!$C:$H,6,FALSE))</f>
        <v/>
      </c>
      <c r="T62" s="154"/>
      <c r="U62" s="252"/>
    </row>
    <row r="63" spans="1:21" s="296" customFormat="1" ht="34.950000000000003" customHeight="1" x14ac:dyDescent="0.2">
      <c r="A63" s="305"/>
      <c r="B63" s="1199"/>
      <c r="C63" s="1208"/>
      <c r="D63" s="396" t="s">
        <v>120</v>
      </c>
      <c r="E63" s="474" t="str">
        <f>IF(VLOOKUP(CONCATENATE($C$3,"-",$D63),Languages!$A:$D,1,TRUE)=CONCATENATE($C$3,"-",$D63),VLOOKUP(CONCATENATE($C$3,"-",$D63),Languages!$A:$D,Summary!$C$7,TRUE),NA())</f>
        <v>ACCESS-osion toimintaa varten on tarjolla riittävät resurssit (henkilöstö, rahoitus ja työkalut).</v>
      </c>
      <c r="F63" s="393">
        <f t="shared" si="3"/>
        <v>0</v>
      </c>
      <c r="G63" s="449" t="s">
        <v>2542</v>
      </c>
      <c r="H63" s="444"/>
      <c r="I63" s="444"/>
      <c r="J63" s="444"/>
      <c r="K63" s="453"/>
      <c r="L63" s="154"/>
      <c r="M63" s="252"/>
      <c r="N63" s="149"/>
      <c r="O63" s="897" t="str">
        <f>VLOOKUP(VLOOKUP($C$3&amp;"-"&amp;$D63,Import!$C:$D,2,FALSE),Parameters!$C$18:$F$22,Summary!$C$7,FALSE)</f>
        <v xml:space="preserve">0 - Vastaus puuttuu </v>
      </c>
      <c r="P63" s="923" t="str">
        <f>IF(VLOOKUP($C$3&amp;"-"&amp;$D63,Import!$C:$H,3,FALSE)=0,"",VLOOKUP($C$3&amp;"-"&amp;$D63,Import!$C:$H,3,FALSE))</f>
        <v/>
      </c>
      <c r="Q63" s="923" t="str">
        <f>IF(VLOOKUP($C$3&amp;"-"&amp;$D63,Import!$C:$H,4,FALSE)=0,"",VLOOKUP($C$3&amp;"-"&amp;$D63,Import!$C:$H,4,FALSE))</f>
        <v/>
      </c>
      <c r="R63" s="923" t="str">
        <f>IF(VLOOKUP($C$3&amp;"-"&amp;$D63,Import!$C:$H,5,FALSE)=0,"",VLOOKUP($C$3&amp;"-"&amp;$D63,Import!$C:$H,5,FALSE))</f>
        <v/>
      </c>
      <c r="S63" s="924" t="str">
        <f>IF(VLOOKUP($C$3&amp;"-"&amp;$D63,Import!$C:$H,6,FALSE)=0,"",VLOOKUP($C$3&amp;"-"&amp;$D63,Import!$C:$H,6,FALSE))</f>
        <v/>
      </c>
      <c r="T63" s="154"/>
      <c r="U63" s="252"/>
    </row>
    <row r="64" spans="1:21" s="296" customFormat="1" ht="45" customHeight="1" x14ac:dyDescent="0.2">
      <c r="A64" s="305"/>
      <c r="B64" s="1199"/>
      <c r="C64" s="1209">
        <v>3</v>
      </c>
      <c r="D64" s="395" t="s">
        <v>123</v>
      </c>
      <c r="E64" s="467" t="str">
        <f>IF(VLOOKUP(CONCATENATE($C$3,"-",$D64),Languages!$A:$D,1,TRUE)=CONCATENATE($C$3,"-",$D64),VLOOKUP(CONCATENATE($C$3,"-",$D64),Languages!$A:$D,Summary!$C$7,TRUE),NA())</f>
        <v>ACCESS-osion toimintaa ohjataan vaatimuksilla, jotka on asetettu organisaation johtotason politiikassa (tai vastaavassa ohjeistuksessa).</v>
      </c>
      <c r="F64" s="386">
        <f t="shared" si="3"/>
        <v>0</v>
      </c>
      <c r="G64" s="445" t="s">
        <v>2542</v>
      </c>
      <c r="H64" s="442"/>
      <c r="I64" s="442"/>
      <c r="J64" s="442"/>
      <c r="K64" s="451"/>
      <c r="L64" s="154"/>
      <c r="M64" s="252"/>
      <c r="N64" s="149"/>
      <c r="O64" s="889" t="str">
        <f>VLOOKUP(VLOOKUP($C$3&amp;"-"&amp;$D64,Import!$C:$D,2,FALSE),Parameters!$C$18:$F$22,Summary!$C$7,FALSE)</f>
        <v xml:space="preserve">0 - Vastaus puuttuu </v>
      </c>
      <c r="P64" s="921" t="str">
        <f>IF(VLOOKUP($C$3&amp;"-"&amp;$D64,Import!$C:$H,3,FALSE)=0,"",VLOOKUP($C$3&amp;"-"&amp;$D64,Import!$C:$H,3,FALSE))</f>
        <v/>
      </c>
      <c r="Q64" s="921" t="str">
        <f>IF(VLOOKUP($C$3&amp;"-"&amp;$D64,Import!$C:$H,4,FALSE)=0,"",VLOOKUP($C$3&amp;"-"&amp;$D64,Import!$C:$H,4,FALSE))</f>
        <v/>
      </c>
      <c r="R64" s="921" t="str">
        <f>IF(VLOOKUP($C$3&amp;"-"&amp;$D64,Import!$C:$H,5,FALSE)=0,"",VLOOKUP($C$3&amp;"-"&amp;$D64,Import!$C:$H,5,FALSE))</f>
        <v/>
      </c>
      <c r="S64" s="922" t="str">
        <f>IF(VLOOKUP($C$3&amp;"-"&amp;$D64,Import!$C:$H,6,FALSE)=0,"",VLOOKUP($C$3&amp;"-"&amp;$D64,Import!$C:$H,6,FALSE))</f>
        <v/>
      </c>
      <c r="T64" s="154"/>
      <c r="U64" s="252"/>
    </row>
    <row r="65" spans="1:21" s="296" customFormat="1" ht="34.950000000000003" customHeight="1" x14ac:dyDescent="0.2">
      <c r="A65" s="305"/>
      <c r="B65" s="1199"/>
      <c r="C65" s="1210"/>
      <c r="D65" s="294" t="s">
        <v>126</v>
      </c>
      <c r="E65" s="468" t="str">
        <f>IF(VLOOKUP(CONCATENATE($C$3,"-",$D65),Languages!$A:$D,1,TRUE)=CONCATENATE($C$3,"-",$D65),VLOOKUP(CONCATENATE($C$3,"-",$D65),Languages!$A:$D,Summary!$C$7,TRUE),NA())</f>
        <v>ACCESS-osion toiminnan suorittamiseen tarvittavat vastuut, tilivelvollisuudet ja valtuutukset on jalkautettu soveltuville työntekijöille.</v>
      </c>
      <c r="F65" s="287">
        <f t="shared" si="3"/>
        <v>0</v>
      </c>
      <c r="G65" s="307" t="s">
        <v>2542</v>
      </c>
      <c r="H65" s="443"/>
      <c r="I65" s="443"/>
      <c r="J65" s="443"/>
      <c r="K65" s="452"/>
      <c r="L65" s="154"/>
      <c r="M65" s="252"/>
      <c r="N65" s="149"/>
      <c r="O65" s="892" t="str">
        <f>VLOOKUP(VLOOKUP($C$3&amp;"-"&amp;$D65,Import!$C:$D,2,FALSE),Parameters!$C$18:$F$22,Summary!$C$7,FALSE)</f>
        <v xml:space="preserve">0 - Vastaus puuttuu </v>
      </c>
      <c r="P65" s="916" t="str">
        <f>IF(VLOOKUP($C$3&amp;"-"&amp;$D65,Import!$C:$H,3,FALSE)=0,"",VLOOKUP($C$3&amp;"-"&amp;$D65,Import!$C:$H,3,FALSE))</f>
        <v/>
      </c>
      <c r="Q65" s="916" t="str">
        <f>IF(VLOOKUP($C$3&amp;"-"&amp;$D65,Import!$C:$H,4,FALSE)=0,"",VLOOKUP($C$3&amp;"-"&amp;$D65,Import!$C:$H,4,FALSE))</f>
        <v/>
      </c>
      <c r="R65" s="916" t="str">
        <f>IF(VLOOKUP($C$3&amp;"-"&amp;$D65,Import!$C:$H,5,FALSE)=0,"",VLOOKUP($C$3&amp;"-"&amp;$D65,Import!$C:$H,5,FALSE))</f>
        <v/>
      </c>
      <c r="S65" s="917" t="str">
        <f>IF(VLOOKUP($C$3&amp;"-"&amp;$D65,Import!$C:$H,6,FALSE)=0,"",VLOOKUP($C$3&amp;"-"&amp;$D65,Import!$C:$H,6,FALSE))</f>
        <v/>
      </c>
      <c r="T65" s="154"/>
      <c r="U65" s="252"/>
    </row>
    <row r="66" spans="1:21" s="296" customFormat="1" ht="43.2" customHeight="1" x14ac:dyDescent="0.2">
      <c r="A66" s="305"/>
      <c r="B66" s="1199"/>
      <c r="C66" s="1210"/>
      <c r="D66" s="294" t="s">
        <v>129</v>
      </c>
      <c r="E66" s="468" t="str">
        <f>IF(VLOOKUP(CONCATENATE($C$3,"-",$D66),Languages!$A:$D,1,TRUE)=CONCATENATE($C$3,"-",$D66),VLOOKUP(CONCATENATE($C$3,"-",$D66),Languages!$A:$D,Summary!$C$7,TRUE),NA())</f>
        <v>ACCESS-osion toimintaa suorittavilla työntekijöillä on riittävät tiedot ja taidot tehtäviensä suorittamiseen.</v>
      </c>
      <c r="F66" s="287">
        <f t="shared" si="3"/>
        <v>0</v>
      </c>
      <c r="G66" s="307" t="s">
        <v>2542</v>
      </c>
      <c r="H66" s="443"/>
      <c r="I66" s="443"/>
      <c r="J66" s="443"/>
      <c r="K66" s="452"/>
      <c r="L66" s="154"/>
      <c r="M66" s="252"/>
      <c r="N66" s="149"/>
      <c r="O66" s="892" t="str">
        <f>VLOOKUP(VLOOKUP($C$3&amp;"-"&amp;$D66,Import!$C:$D,2,FALSE),Parameters!$C$18:$F$22,Summary!$C$7,FALSE)</f>
        <v xml:space="preserve">0 - Vastaus puuttuu </v>
      </c>
      <c r="P66" s="916" t="str">
        <f>IF(VLOOKUP($C$3&amp;"-"&amp;$D66,Import!$C:$H,3,FALSE)=0,"",VLOOKUP($C$3&amp;"-"&amp;$D66,Import!$C:$H,3,FALSE))</f>
        <v/>
      </c>
      <c r="Q66" s="916" t="str">
        <f>IF(VLOOKUP($C$3&amp;"-"&amp;$D66,Import!$C:$H,4,FALSE)=0,"",VLOOKUP($C$3&amp;"-"&amp;$D66,Import!$C:$H,4,FALSE))</f>
        <v/>
      </c>
      <c r="R66" s="916" t="str">
        <f>IF(VLOOKUP($C$3&amp;"-"&amp;$D66,Import!$C:$H,5,FALSE)=0,"",VLOOKUP($C$3&amp;"-"&amp;$D66,Import!$C:$H,5,FALSE))</f>
        <v/>
      </c>
      <c r="S66" s="917" t="str">
        <f>IF(VLOOKUP($C$3&amp;"-"&amp;$D66,Import!$C:$H,6,FALSE)=0,"",VLOOKUP($C$3&amp;"-"&amp;$D66,Import!$C:$H,6,FALSE))</f>
        <v/>
      </c>
      <c r="T66" s="154"/>
      <c r="U66" s="252"/>
    </row>
    <row r="67" spans="1:21" s="296" customFormat="1" ht="34.950000000000003" customHeight="1" x14ac:dyDescent="0.2">
      <c r="A67" s="305"/>
      <c r="B67" s="1199"/>
      <c r="C67" s="1211"/>
      <c r="D67" s="396" t="s">
        <v>131</v>
      </c>
      <c r="E67" s="474" t="str">
        <f>IF(VLOOKUP(CONCATENATE($C$3,"-",$D67),Languages!$A:$D,1,TRUE)=CONCATENATE($C$3,"-",$D67),VLOOKUP(CONCATENATE($C$3,"-",$D67),Languages!$A:$D,Summary!$C$7,TRUE),NA())</f>
        <v>ACCESS-osion toiminnan vaikuttavuutta arvioidaan ja seurataan.</v>
      </c>
      <c r="F67" s="393">
        <f t="shared" si="3"/>
        <v>0</v>
      </c>
      <c r="G67" s="449" t="s">
        <v>2542</v>
      </c>
      <c r="H67" s="444"/>
      <c r="I67" s="444"/>
      <c r="J67" s="444"/>
      <c r="K67" s="453"/>
      <c r="L67" s="154"/>
      <c r="M67" s="252"/>
      <c r="N67" s="149"/>
      <c r="O67" s="897" t="str">
        <f>VLOOKUP(VLOOKUP($C$3&amp;"-"&amp;$D67,Import!$C:$D,2,FALSE),Parameters!$C$18:$F$22,Summary!$C$7,FALSE)</f>
        <v xml:space="preserve">0 - Vastaus puuttuu </v>
      </c>
      <c r="P67" s="923" t="str">
        <f>IF(VLOOKUP($C$3&amp;"-"&amp;$D67,Import!$C:$H,3,FALSE)=0,"",VLOOKUP($C$3&amp;"-"&amp;$D67,Import!$C:$H,3,FALSE))</f>
        <v/>
      </c>
      <c r="Q67" s="923" t="str">
        <f>IF(VLOOKUP($C$3&amp;"-"&amp;$D67,Import!$C:$H,4,FALSE)=0,"",VLOOKUP($C$3&amp;"-"&amp;$D67,Import!$C:$H,4,FALSE))</f>
        <v/>
      </c>
      <c r="R67" s="923" t="str">
        <f>IF(VLOOKUP($C$3&amp;"-"&amp;$D67,Import!$C:$H,5,FALSE)=0,"",VLOOKUP($C$3&amp;"-"&amp;$D67,Import!$C:$H,5,FALSE))</f>
        <v/>
      </c>
      <c r="S67" s="924" t="str">
        <f>IF(VLOOKUP($C$3&amp;"-"&amp;$D67,Import!$C:$H,6,FALSE)=0,"",VLOOKUP($C$3&amp;"-"&amp;$D67,Import!$C:$H,6,FALSE))</f>
        <v/>
      </c>
      <c r="T67" s="154"/>
      <c r="U67" s="252"/>
    </row>
    <row r="68" spans="1:21" x14ac:dyDescent="0.2">
      <c r="A68" s="181"/>
      <c r="B68" s="329"/>
      <c r="C68" s="330"/>
      <c r="D68" s="331"/>
      <c r="E68" s="332"/>
      <c r="F68" s="333"/>
      <c r="G68" s="334"/>
      <c r="H68" s="335"/>
      <c r="I68" s="335"/>
      <c r="J68" s="335"/>
      <c r="K68" s="335"/>
      <c r="L68" s="154"/>
      <c r="M68" s="252"/>
      <c r="N68" s="149"/>
      <c r="O68" s="334"/>
      <c r="P68" s="335"/>
      <c r="Q68" s="335"/>
      <c r="R68" s="335"/>
      <c r="S68" s="335"/>
      <c r="T68" s="154"/>
      <c r="U68" s="252"/>
    </row>
    <row r="69" spans="1:21" x14ac:dyDescent="0.25">
      <c r="A69" s="181"/>
      <c r="B69" s="181"/>
      <c r="C69" s="181"/>
      <c r="D69" s="181"/>
      <c r="E69" s="181"/>
      <c r="F69" s="336"/>
      <c r="G69" s="181"/>
      <c r="H69" s="181"/>
      <c r="I69" s="181"/>
      <c r="J69" s="181"/>
      <c r="K69" s="181"/>
      <c r="L69" s="476"/>
      <c r="M69" s="309"/>
      <c r="N69" s="519"/>
      <c r="O69" s="181"/>
      <c r="P69" s="181"/>
      <c r="Q69" s="181"/>
      <c r="R69" s="181"/>
      <c r="S69" s="181"/>
      <c r="T69" s="476"/>
      <c r="U69" s="309"/>
    </row>
    <row r="70" spans="1:21" x14ac:dyDescent="0.25">
      <c r="L70" s="340"/>
      <c r="M70" s="339"/>
      <c r="N70" s="182"/>
      <c r="T70" s="340"/>
      <c r="U70" s="339"/>
    </row>
    <row r="71" spans="1:21" x14ac:dyDescent="0.25">
      <c r="L71" s="340"/>
      <c r="M71" s="339"/>
      <c r="N71" s="182"/>
      <c r="T71" s="340"/>
      <c r="U71" s="339"/>
    </row>
    <row r="72" spans="1:21" x14ac:dyDescent="0.25">
      <c r="L72" s="340"/>
      <c r="M72" s="339"/>
      <c r="N72" s="182"/>
      <c r="T72" s="340"/>
      <c r="U72" s="339"/>
    </row>
    <row r="73" spans="1:21" x14ac:dyDescent="0.25">
      <c r="L73" s="340"/>
      <c r="M73" s="339"/>
      <c r="N73" s="182"/>
      <c r="T73" s="340"/>
      <c r="U73" s="339"/>
    </row>
    <row r="74" spans="1:21" x14ac:dyDescent="0.25">
      <c r="L74" s="340"/>
      <c r="M74" s="339"/>
      <c r="N74" s="182"/>
      <c r="T74" s="340"/>
      <c r="U74" s="339"/>
    </row>
    <row r="75" spans="1:21" x14ac:dyDescent="0.25">
      <c r="L75" s="340"/>
      <c r="M75" s="339"/>
      <c r="N75" s="182"/>
      <c r="T75" s="340"/>
      <c r="U75" s="339"/>
    </row>
    <row r="76" spans="1:21" x14ac:dyDescent="0.25">
      <c r="L76" s="340"/>
      <c r="M76" s="339"/>
      <c r="N76" s="182"/>
      <c r="T76" s="340"/>
      <c r="U76" s="339"/>
    </row>
    <row r="77" spans="1:21" x14ac:dyDescent="0.25">
      <c r="L77" s="340"/>
      <c r="M77" s="339"/>
      <c r="N77" s="182"/>
      <c r="T77" s="340"/>
      <c r="U77" s="339"/>
    </row>
    <row r="78" spans="1:21" x14ac:dyDescent="0.25">
      <c r="L78" s="340"/>
      <c r="M78" s="339"/>
      <c r="N78" s="182"/>
      <c r="T78" s="340"/>
      <c r="U78" s="339"/>
    </row>
    <row r="79" spans="1:21" x14ac:dyDescent="0.25">
      <c r="L79" s="340"/>
      <c r="M79" s="339"/>
      <c r="N79" s="182"/>
      <c r="T79" s="340"/>
      <c r="U79" s="339"/>
    </row>
    <row r="80" spans="1:21" x14ac:dyDescent="0.25">
      <c r="L80" s="340"/>
      <c r="M80" s="339"/>
      <c r="N80" s="182"/>
      <c r="T80" s="340"/>
      <c r="U80" s="339"/>
    </row>
    <row r="81" spans="12:21" x14ac:dyDescent="0.25">
      <c r="L81" s="340"/>
      <c r="M81" s="339"/>
      <c r="N81" s="182"/>
      <c r="T81" s="340"/>
      <c r="U81" s="339"/>
    </row>
  </sheetData>
  <sheetProtection sheet="1" formatCells="0" formatColumns="0" formatRows="0"/>
  <mergeCells count="46">
    <mergeCell ref="O19:O20"/>
    <mergeCell ref="P19:P20"/>
    <mergeCell ref="Q19:Q20"/>
    <mergeCell ref="R19:R20"/>
    <mergeCell ref="S19:S20"/>
    <mergeCell ref="O17:O18"/>
    <mergeCell ref="P17:P18"/>
    <mergeCell ref="Q17:Q18"/>
    <mergeCell ref="R17:R18"/>
    <mergeCell ref="S17:S18"/>
    <mergeCell ref="O15:O16"/>
    <mergeCell ref="P15:P16"/>
    <mergeCell ref="Q15:Q16"/>
    <mergeCell ref="R15:R16"/>
    <mergeCell ref="S15:S16"/>
    <mergeCell ref="O3:S11"/>
    <mergeCell ref="O13:O14"/>
    <mergeCell ref="P13:P14"/>
    <mergeCell ref="Q13:Q14"/>
    <mergeCell ref="R13:R14"/>
    <mergeCell ref="S13:S14"/>
    <mergeCell ref="C6:K6"/>
    <mergeCell ref="B28:B35"/>
    <mergeCell ref="B26:B27"/>
    <mergeCell ref="C13:K13"/>
    <mergeCell ref="I8:J8"/>
    <mergeCell ref="I10:J11"/>
    <mergeCell ref="C15:K15"/>
    <mergeCell ref="C17:K17"/>
    <mergeCell ref="C19:K19"/>
    <mergeCell ref="C34:C35"/>
    <mergeCell ref="C26:C28"/>
    <mergeCell ref="C52:C56"/>
    <mergeCell ref="C57:C58"/>
    <mergeCell ref="B66:B67"/>
    <mergeCell ref="B62:B65"/>
    <mergeCell ref="B38:B39"/>
    <mergeCell ref="B40:B45"/>
    <mergeCell ref="B49:B50"/>
    <mergeCell ref="B51:B56"/>
    <mergeCell ref="C62:C63"/>
    <mergeCell ref="C64:C67"/>
    <mergeCell ref="C45:C46"/>
    <mergeCell ref="C49:C51"/>
    <mergeCell ref="C38:C39"/>
    <mergeCell ref="C40:C44"/>
  </mergeCells>
  <conditionalFormatting sqref="F4:F5 F59 F12 F7:F9 F38:F45 F61:F1048576 F26:F36">
    <cfRule type="containsText" dxfId="195" priority="36" operator="containsText" text="0">
      <formula>NOT(ISERROR(SEARCH("0",F4)))</formula>
    </cfRule>
  </conditionalFormatting>
  <conditionalFormatting sqref="F47 F49:F57">
    <cfRule type="containsText" dxfId="194" priority="31" operator="containsText" text="0">
      <formula>NOT(ISERROR(SEARCH("0",F47)))</formula>
    </cfRule>
  </conditionalFormatting>
  <conditionalFormatting sqref="F46">
    <cfRule type="containsText" dxfId="193" priority="29" operator="containsText" text="0">
      <formula>NOT(ISERROR(SEARCH("0",F46)))</formula>
    </cfRule>
  </conditionalFormatting>
  <conditionalFormatting sqref="F58">
    <cfRule type="containsText" dxfId="192" priority="27" operator="containsText" text="0">
      <formula>NOT(ISERROR(SEARCH("0",F58)))</formula>
    </cfRule>
  </conditionalFormatting>
  <conditionalFormatting sqref="F10:F11">
    <cfRule type="containsText" dxfId="191" priority="22" operator="containsText" text="0">
      <formula>NOT(ISERROR(SEARCH("0",F10)))</formula>
    </cfRule>
  </conditionalFormatting>
  <conditionalFormatting sqref="F1 F3">
    <cfRule type="containsText" dxfId="190" priority="18" operator="containsText" text="0">
      <formula>NOT(ISERROR(SEARCH("0",F1)))</formula>
    </cfRule>
  </conditionalFormatting>
  <conditionalFormatting sqref="F2">
    <cfRule type="containsText" dxfId="189" priority="17" operator="containsText" text="0">
      <formula>NOT(ISERROR(SEARCH("0",F2)))</formula>
    </cfRule>
  </conditionalFormatting>
  <conditionalFormatting sqref="F60">
    <cfRule type="containsText" dxfId="188" priority="15" operator="containsText" text="0">
      <formula>NOT(ISERROR(SEARCH("0",F60)))</formula>
    </cfRule>
  </conditionalFormatting>
  <conditionalFormatting sqref="F48">
    <cfRule type="containsText" dxfId="187" priority="13" operator="containsText" text="0">
      <formula>NOT(ISERROR(SEARCH("0",F48)))</formula>
    </cfRule>
  </conditionalFormatting>
  <conditionalFormatting sqref="F37">
    <cfRule type="containsText" dxfId="186" priority="11" operator="containsText" text="0">
      <formula>NOT(ISERROR(SEARCH("0",F37)))</formula>
    </cfRule>
  </conditionalFormatting>
  <conditionalFormatting sqref="F25">
    <cfRule type="containsText" dxfId="185" priority="9" operator="containsText" text="0">
      <formula>NOT(ISERROR(SEARCH("0",F25)))</formula>
    </cfRule>
  </conditionalFormatting>
  <conditionalFormatting sqref="F14">
    <cfRule type="containsText" dxfId="184" priority="8" operator="containsText" text="0">
      <formula>NOT(ISERROR(SEARCH("0",F14)))</formula>
    </cfRule>
  </conditionalFormatting>
  <conditionalFormatting sqref="F16">
    <cfRule type="containsText" dxfId="183" priority="6" operator="containsText" text="0">
      <formula>NOT(ISERROR(SEARCH("0",F16)))</formula>
    </cfRule>
  </conditionalFormatting>
  <conditionalFormatting sqref="F18">
    <cfRule type="containsText" dxfId="182" priority="4" operator="containsText" text="0">
      <formula>NOT(ISERROR(SEARCH("0",F18)))</formula>
    </cfRule>
  </conditionalFormatting>
  <conditionalFormatting sqref="F24">
    <cfRule type="containsText" dxfId="181" priority="2" operator="containsText" text="0">
      <formula>NOT(ISERROR(SEARCH("0",F24)))</formula>
    </cfRule>
  </conditionalFormatting>
  <pageMargins left="0.7" right="0.7" top="0.75" bottom="0.75" header="0.3" footer="0.3"/>
  <pageSetup paperSize="9" scale="41" orientation="portrait" r:id="rId1"/>
  <rowBreaks count="1" manualBreakCount="1">
    <brk id="46" max="16383" man="1"/>
  </rowBreaks>
  <colBreaks count="1" manualBreakCount="1">
    <brk id="13" max="1048575" man="1"/>
  </colBreaks>
  <ignoredErrors>
    <ignoredError sqref="O26:S30 O38:O46 O62:S67 O35:S35 P37:S46 O58:S58 P48:S56 O49:O56"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7" id="{C9F9FD20-98D7-4FC5-BB0D-9549F77058F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F61</xm:sqref>
        </x14:conditionalFormatting>
        <x14:conditionalFormatting xmlns:xm="http://schemas.microsoft.com/office/excel/2006/main">
          <x14:cfRule type="iconSet" priority="35" id="{E38E2DAA-D23E-4039-AAA5-1F8BD2F37A5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F61:F1048576 F59 F4:F5 F12 F7:F9 F38:F45 F26:F36</xm:sqref>
        </x14:conditionalFormatting>
        <x14:conditionalFormatting xmlns:xm="http://schemas.microsoft.com/office/excel/2006/main">
          <x14:cfRule type="iconSet" priority="30" id="{41F69F2B-659F-4A52-BE0E-C11FC845232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F47 F49:F57</xm:sqref>
        </x14:conditionalFormatting>
        <x14:conditionalFormatting xmlns:xm="http://schemas.microsoft.com/office/excel/2006/main">
          <x14:cfRule type="iconSet" priority="28" id="{6CB768D2-5C5C-481F-8F6E-34BA5A8680C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xm:sqref>
        </x14:conditionalFormatting>
        <x14:conditionalFormatting xmlns:xm="http://schemas.microsoft.com/office/excel/2006/main">
          <x14:cfRule type="iconSet" priority="26" id="{5887BDC4-29DC-421A-88DA-DEC652CE301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xm:sqref>
        </x14:conditionalFormatting>
        <x14:conditionalFormatting xmlns:xm="http://schemas.microsoft.com/office/excel/2006/main">
          <x14:cfRule type="iconSet" priority="21" id="{8B4780AD-7A62-40AD-918E-057D1B8758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F10:F11</xm:sqref>
        </x14:conditionalFormatting>
        <x14:conditionalFormatting xmlns:xm="http://schemas.microsoft.com/office/excel/2006/main">
          <x14:cfRule type="iconSet" priority="19" id="{C9D70AE4-4346-41C1-BEA2-A1D8DF175BE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DC54A852-8A8D-4953-BDFF-A608E448040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6" id="{D3D83C84-D876-4292-85FE-FAFC4A9867D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F60</xm:sqref>
        </x14:conditionalFormatting>
        <x14:conditionalFormatting xmlns:xm="http://schemas.microsoft.com/office/excel/2006/main">
          <x14:cfRule type="iconSet" priority="14" id="{F1B26D86-7213-4F2A-954E-8DF269EE17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F48</xm:sqref>
        </x14:conditionalFormatting>
        <x14:conditionalFormatting xmlns:xm="http://schemas.microsoft.com/office/excel/2006/main">
          <x14:cfRule type="iconSet" priority="12" id="{923EB51E-72BF-4D70-9C73-218BD980056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F37</xm:sqref>
        </x14:conditionalFormatting>
        <x14:conditionalFormatting xmlns:xm="http://schemas.microsoft.com/office/excel/2006/main">
          <x14:cfRule type="iconSet" priority="10" id="{19818590-6435-40C9-A794-32A5571C869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7" id="{57793637-EF27-422F-A119-A9694BE8F9E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5" id="{E975F6F3-BDBA-430B-B169-82644151340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3" id="{9956CDED-C18E-4C21-8220-D9D15AEF8B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1" id="{F76C249B-FEC2-4628-BC1F-905D41FB964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Parameters!$B$18:$B$22</xm:f>
          </x14:formula1>
          <xm:sqref>G49:G58 G62:G67 G38:G46 G26:G35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2" tint="0.79998168889431442"/>
  </sheetPr>
  <dimension ref="A1:U64"/>
  <sheetViews>
    <sheetView showGridLines="0" zoomScale="80" zoomScaleNormal="80" zoomScaleSheetLayoutView="70" workbookViewId="0"/>
  </sheetViews>
  <sheetFormatPr defaultColWidth="9.26953125" defaultRowHeight="13.8" x14ac:dyDescent="0.25"/>
  <cols>
    <col min="1" max="2" width="1.6328125" style="184" customWidth="1"/>
    <col min="3" max="3" width="2.6328125" style="184" customWidth="1"/>
    <col min="4" max="4" width="3.1796875" style="337" customWidth="1"/>
    <col min="5" max="5" width="55.6328125" style="184" customWidth="1"/>
    <col min="6" max="6" width="2.6328125" style="323" customWidth="1"/>
    <col min="7" max="7" width="14.6328125" style="310" customWidth="1"/>
    <col min="8" max="8" width="30.6328125" customWidth="1"/>
    <col min="9" max="9" width="20.6328125" customWidth="1"/>
    <col min="10" max="10" width="20.6328125" style="338" customWidth="1"/>
    <col min="11" max="11" width="10.6328125" style="184" customWidth="1"/>
    <col min="12" max="12" width="1.6328125" style="339" customWidth="1"/>
    <col min="13" max="13" width="1.6328125" style="340" customWidth="1"/>
    <col min="14" max="14" width="1.6328125" style="339" customWidth="1"/>
    <col min="15" max="15" width="14.6328125" style="310" customWidth="1"/>
    <col min="16" max="16" width="30.6328125" customWidth="1"/>
    <col min="17" max="17" width="20.6328125" customWidth="1"/>
    <col min="18" max="18" width="20.6328125" style="338" customWidth="1"/>
    <col min="19" max="19" width="28.54296875" style="184" customWidth="1"/>
    <col min="20" max="20" width="1.6328125" style="339" customWidth="1"/>
    <col min="21" max="21" width="1.6328125" style="340" customWidth="1"/>
    <col min="22" max="16384" width="9.26953125" style="184"/>
  </cols>
  <sheetData>
    <row r="1" spans="1:21" s="140" customFormat="1" ht="11.4" x14ac:dyDescent="0.25">
      <c r="A1" s="135"/>
      <c r="B1" s="135"/>
      <c r="C1" s="135"/>
      <c r="D1" s="135"/>
      <c r="E1" s="135"/>
      <c r="F1" s="251"/>
      <c r="G1" s="250"/>
      <c r="H1" s="250"/>
      <c r="I1" s="250"/>
      <c r="J1" s="250"/>
      <c r="K1" s="250"/>
      <c r="L1" s="135"/>
      <c r="M1" s="135"/>
      <c r="N1" s="135"/>
      <c r="O1" s="250"/>
      <c r="P1" s="250"/>
      <c r="Q1" s="250"/>
      <c r="R1" s="250"/>
      <c r="S1" s="250"/>
      <c r="T1" s="135"/>
      <c r="U1" s="135"/>
    </row>
    <row r="2" spans="1:21" s="257" customFormat="1" ht="15" customHeight="1" x14ac:dyDescent="0.2">
      <c r="A2" s="252"/>
      <c r="B2" s="142"/>
      <c r="C2" s="253"/>
      <c r="D2" s="145"/>
      <c r="E2" s="254"/>
      <c r="F2" s="146"/>
      <c r="G2" s="255"/>
      <c r="H2" s="255"/>
      <c r="I2" s="255"/>
      <c r="J2" s="255"/>
      <c r="K2" s="255"/>
      <c r="L2" s="147"/>
      <c r="M2" s="252"/>
      <c r="N2" s="812"/>
      <c r="O2" s="813"/>
      <c r="P2" s="813"/>
      <c r="Q2" s="813"/>
      <c r="R2" s="813"/>
      <c r="S2" s="813"/>
      <c r="T2" s="814"/>
      <c r="U2" s="252"/>
    </row>
    <row r="3" spans="1:21" s="257" customFormat="1" ht="25.05" customHeight="1" x14ac:dyDescent="0.25">
      <c r="A3" s="252"/>
      <c r="B3" s="149"/>
      <c r="C3" s="150" t="s">
        <v>67</v>
      </c>
      <c r="D3" s="151"/>
      <c r="E3" s="424"/>
      <c r="F3" s="152"/>
      <c r="G3" s="148"/>
      <c r="H3" s="268" t="str">
        <f>IF(VLOOKUP("GEN-TOTAL",Languages!$A:$D,1,TRUE)="GEN-TOTAL",VLOOKUP("GEN-TOTAL",Languages!$A:$D,Summary!$C$7,TRUE),NA())</f>
        <v>Kokonaisarvio</v>
      </c>
      <c r="I3" s="153" t="str">
        <f>IF(VLOOKUP("GEN-SEC",Languages!$A:$D,1,TRUE)="GEN-SEC",VLOOKUP("GEN-SEC",Languages!$A:$D,Summary!$C$7,TRUE),NA())</f>
        <v>Tiedon luokittelu</v>
      </c>
      <c r="J3" s="425"/>
      <c r="K3" s="148"/>
      <c r="L3" s="154"/>
      <c r="M3" s="252"/>
      <c r="N3" s="815"/>
      <c r="O3" s="1184" t="str">
        <f>VLOOKUP($C$3,Infoimport!$B$4:$C$14,2,FALSE)</f>
        <v xml:space="preserve">SITUATION, tiedot Infoimport-välilehdeltä
</v>
      </c>
      <c r="P3" s="1184"/>
      <c r="Q3" s="1184"/>
      <c r="R3" s="1184"/>
      <c r="S3" s="1184"/>
      <c r="T3" s="816"/>
      <c r="U3" s="252"/>
    </row>
    <row r="4" spans="1:21" s="318" customFormat="1" ht="25.05" customHeight="1" x14ac:dyDescent="0.3">
      <c r="A4" s="316"/>
      <c r="B4" s="317"/>
      <c r="C4" s="155" t="str">
        <f>IF(VLOOKUP($C$3,Languages!$A:$D,1,TRUE)=$C$3,VLOOKUP($C$3,Languages!$A:$D,Summary!$C$7,TRUE),NA())</f>
        <v>Tilannekuva (SITUATION)</v>
      </c>
      <c r="D4" s="258"/>
      <c r="E4" s="259"/>
      <c r="F4" s="320"/>
      <c r="G4" s="320"/>
      <c r="H4" s="261" t="str">
        <f ca="1">VLOOKUP(VLOOKUP(CONCATENATE($C$3),Data!$K:$O,5,FALSE),Parameters!$C$7:$F$10,Summary!$C$7,FALSE)</f>
        <v>Kypsyystaso 0</v>
      </c>
      <c r="I4" s="697"/>
      <c r="J4" s="262"/>
      <c r="K4" s="148"/>
      <c r="L4" s="154"/>
      <c r="M4" s="252"/>
      <c r="N4" s="815"/>
      <c r="O4" s="1184"/>
      <c r="P4" s="1184"/>
      <c r="Q4" s="1184"/>
      <c r="R4" s="1184"/>
      <c r="S4" s="1184"/>
      <c r="T4" s="816"/>
      <c r="U4" s="252"/>
    </row>
    <row r="5" spans="1:21" ht="10.050000000000001" customHeight="1" x14ac:dyDescent="0.25">
      <c r="A5" s="178"/>
      <c r="B5" s="308"/>
      <c r="C5" s="321"/>
      <c r="D5" s="322"/>
      <c r="E5" s="322"/>
      <c r="F5" s="261"/>
      <c r="G5" s="261"/>
      <c r="H5" s="797"/>
      <c r="I5" s="262"/>
      <c r="J5" s="262"/>
      <c r="K5" s="148"/>
      <c r="L5" s="154"/>
      <c r="M5" s="252"/>
      <c r="N5" s="815"/>
      <c r="O5" s="1184"/>
      <c r="P5" s="1184"/>
      <c r="Q5" s="1184"/>
      <c r="R5" s="1184"/>
      <c r="S5" s="1184"/>
      <c r="T5" s="816"/>
      <c r="U5" s="252"/>
    </row>
    <row r="6" spans="1:21" ht="91.5" customHeight="1" x14ac:dyDescent="0.2">
      <c r="A6" s="178"/>
      <c r="B6" s="308"/>
      <c r="C6" s="1238" t="str">
        <f>IF(VLOOKUP(CONCATENATE(C3,"-0"),Languages!$A:$D,1,TRUE)=CONCATENATE(C3,"-0"),VLOOKUP(CONCATENATE(C3,"-0"),Languages!$A:$D,Summary!$C$7,TRUE),NA())</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D6" s="1238"/>
      <c r="E6" s="1238"/>
      <c r="F6" s="1238"/>
      <c r="G6" s="1238"/>
      <c r="H6" s="1238"/>
      <c r="I6" s="1238"/>
      <c r="J6" s="1238"/>
      <c r="K6" s="1238"/>
      <c r="L6" s="154"/>
      <c r="M6" s="252"/>
      <c r="N6" s="815"/>
      <c r="O6" s="1184"/>
      <c r="P6" s="1184"/>
      <c r="Q6" s="1184"/>
      <c r="R6" s="1184"/>
      <c r="S6" s="1184"/>
      <c r="T6" s="816"/>
      <c r="U6" s="252"/>
    </row>
    <row r="7" spans="1:21" ht="14.4" customHeight="1" x14ac:dyDescent="0.2">
      <c r="A7" s="178"/>
      <c r="B7" s="308"/>
      <c r="C7" s="264">
        <v>1</v>
      </c>
      <c r="D7" s="265" t="s">
        <v>1</v>
      </c>
      <c r="E7" s="266" t="str">
        <f>IF(VLOOKUP(CONCATENATE($C$3,"-",C7),Languages!$A:$D,1,TRUE)=CONCATENATE($C$3,"-",C7),VLOOKUP(CONCATENATE($C$3,"-",C7),Languages!$A:$D,Summary!$C$7,TRUE),NA())</f>
        <v>Lokienhallinta</v>
      </c>
      <c r="H7" s="267" t="str">
        <f ca="1">VLOOKUP(VLOOKUP(CONCATENATE($C$3,"-",$C7),Data!$K:$O,5,FALSE),Parameters!$C$7:$F$10,Summary!$C$7,FALSE)</f>
        <v>Kypsyystaso 0</v>
      </c>
      <c r="I7" s="465" t="str">
        <f>IF(VLOOKUP("KM110",Languages!$A:$D,1,TRUE)="KM110",VLOOKUP("KM110",Languages!$A:$D,Summary!$C$7,TRUE),NA())</f>
        <v>Päivämäärä</v>
      </c>
      <c r="J7" s="439"/>
      <c r="K7" s="148"/>
      <c r="L7" s="154"/>
      <c r="M7" s="252"/>
      <c r="N7" s="815"/>
      <c r="O7" s="1184"/>
      <c r="P7" s="1184"/>
      <c r="Q7" s="1184"/>
      <c r="R7" s="1184"/>
      <c r="S7" s="1184"/>
      <c r="T7" s="816"/>
      <c r="U7" s="252"/>
    </row>
    <row r="8" spans="1:21" ht="14.4" customHeight="1" x14ac:dyDescent="0.25">
      <c r="A8" s="178"/>
      <c r="B8" s="308"/>
      <c r="C8" s="264">
        <v>2</v>
      </c>
      <c r="D8" s="265" t="s">
        <v>1</v>
      </c>
      <c r="E8" s="266" t="str">
        <f>IF(VLOOKUP(CONCATENATE($C$3,"-",C8),Languages!$A:$D,1,TRUE)=CONCATENATE($C$3,"-",C8),VLOOKUP(CONCATENATE($C$3,"-",C8),Languages!$A:$D,Summary!$C$7,TRUE),NA())</f>
        <v>Ympäristöjen valvonta</v>
      </c>
      <c r="F8" s="324"/>
      <c r="H8" s="267" t="str">
        <f ca="1">VLOOKUP(VLOOKUP(CONCATENATE($C$3,"-",$C8),Data!$K:$O,5,FALSE),Parameters!$C$7:$F$10,Summary!$C$7,FALSE)</f>
        <v>Kypsyystaso 0</v>
      </c>
      <c r="I8" s="1213"/>
      <c r="J8" s="1206"/>
      <c r="K8" s="148"/>
      <c r="L8" s="154"/>
      <c r="M8" s="252"/>
      <c r="N8" s="815"/>
      <c r="O8" s="1184"/>
      <c r="P8" s="1184"/>
      <c r="Q8" s="1184"/>
      <c r="R8" s="1184"/>
      <c r="S8" s="1184"/>
      <c r="T8" s="816"/>
      <c r="U8" s="252"/>
    </row>
    <row r="9" spans="1:21" ht="14.4" customHeight="1" x14ac:dyDescent="0.2">
      <c r="A9" s="178"/>
      <c r="B9" s="308"/>
      <c r="C9" s="264">
        <v>3</v>
      </c>
      <c r="D9" s="265" t="s">
        <v>1</v>
      </c>
      <c r="E9" s="266" t="str">
        <f>IF(VLOOKUP(CONCATENATE($C$3,"-",C9),Languages!$A:$D,1,TRUE)=CONCATENATE($C$3,"-",C9),VLOOKUP(CONCATENATE($C$3,"-",C9),Languages!$A:$D,Summary!$C$7,TRUE),NA())</f>
        <v>Tilannekuvan ylläpito</v>
      </c>
      <c r="F9" s="325"/>
      <c r="H9" s="267" t="str">
        <f ca="1">VLOOKUP(VLOOKUP(CONCATENATE($C$3,"-",$C9),Data!$K:$O,5,FALSE),Parameters!$C$7:$F$10,Summary!$C$7,FALSE)</f>
        <v>Kypsyystaso 1</v>
      </c>
      <c r="I9" s="465" t="str">
        <f>IF(VLOOKUP("KM111",Languages!$A:$D,1,TRUE)="KM111",VLOOKUP("KM111",Languages!$A:$D,Summary!$C$7,TRUE),NA())</f>
        <v>Osallistujat</v>
      </c>
      <c r="J9" s="439"/>
      <c r="K9" s="148"/>
      <c r="L9" s="154"/>
      <c r="M9" s="252"/>
      <c r="N9" s="815"/>
      <c r="O9" s="1184"/>
      <c r="P9" s="1184"/>
      <c r="Q9" s="1184"/>
      <c r="R9" s="1184"/>
      <c r="S9" s="1184"/>
      <c r="T9" s="816"/>
      <c r="U9" s="252"/>
    </row>
    <row r="10" spans="1:21" ht="14.4" customHeight="1" x14ac:dyDescent="0.2">
      <c r="A10" s="178"/>
      <c r="B10" s="308"/>
      <c r="C10" s="264">
        <v>4</v>
      </c>
      <c r="D10" s="265" t="s">
        <v>1</v>
      </c>
      <c r="E10" s="266" t="str">
        <f>IF(VLOOKUP(CONCATENATE($C$3,"-",C10),Languages!$A:$D,1,TRUE)=CONCATENATE($C$3,"-",C10),VLOOKUP(CONCATENATE($C$3,"-",C10),Languages!$A:$D,Summary!$C$7,TRUE),NA())</f>
        <v>Yleisiä hallintatoimia</v>
      </c>
      <c r="F10" s="1118"/>
      <c r="H10" s="267" t="str">
        <f ca="1">VLOOKUP(VLOOKUP(CONCATENATE($C$3,"-",$C10),Data!$K:$O,5,FALSE),Parameters!$C$7:$F$10,Summary!$C$7,FALSE)</f>
        <v>Kypsyystaso 1</v>
      </c>
      <c r="I10" s="1194"/>
      <c r="J10" s="1195"/>
      <c r="K10" s="148"/>
      <c r="L10" s="154"/>
      <c r="M10" s="252"/>
      <c r="N10" s="815"/>
      <c r="O10" s="1184"/>
      <c r="P10" s="1184"/>
      <c r="Q10" s="1184"/>
      <c r="R10" s="1184"/>
      <c r="S10" s="1184"/>
      <c r="T10" s="816"/>
      <c r="U10" s="252"/>
    </row>
    <row r="11" spans="1:21" ht="14.4" customHeight="1" x14ac:dyDescent="0.2">
      <c r="A11" s="178"/>
      <c r="B11" s="308"/>
      <c r="C11" s="264"/>
      <c r="D11" s="265"/>
      <c r="E11" s="266"/>
      <c r="F11" s="1118"/>
      <c r="H11" s="267"/>
      <c r="I11" s="1196"/>
      <c r="J11" s="1197"/>
      <c r="K11" s="148"/>
      <c r="L11" s="154"/>
      <c r="M11" s="252"/>
      <c r="N11" s="815"/>
      <c r="O11" s="1184"/>
      <c r="P11" s="1184"/>
      <c r="Q11" s="1184"/>
      <c r="R11" s="1184"/>
      <c r="S11" s="1184"/>
      <c r="T11" s="816"/>
      <c r="U11" s="252"/>
    </row>
    <row r="12" spans="1:21" s="177" customFormat="1" ht="30" customHeight="1" x14ac:dyDescent="0.25">
      <c r="A12" s="166"/>
      <c r="B12" s="269"/>
      <c r="C12" s="170">
        <v>1</v>
      </c>
      <c r="D12" s="170" t="str">
        <f>IF(VLOOKUP(CONCATENATE($C$3,"-",C12),Languages!$A:$D,1,TRUE)=CONCATENATE($C$3,"-",C12),VLOOKUP(CONCATENATE($C$3,"-",C12),Languages!$A:$D,Summary!$C$7,TRUE),NA())</f>
        <v>Lokienhallinta</v>
      </c>
      <c r="E12" s="170"/>
      <c r="F12" s="271"/>
      <c r="G12" s="271"/>
      <c r="H12" s="272"/>
      <c r="I12" s="272"/>
      <c r="J12" s="272"/>
      <c r="K12" s="272"/>
      <c r="L12" s="154"/>
      <c r="M12" s="252"/>
      <c r="N12" s="815"/>
      <c r="O12" s="463" t="str">
        <f>IF(VLOOKUP("GEN-ANSWER",Languages!$A:$D,1,TRUE)="GEN-ANSWER",VLOOKUP("GEN-ANSWER",Languages!$A:$D,Summary!$C$7,TRUE),NA())</f>
        <v>Vastaus</v>
      </c>
      <c r="P12" s="463" t="str">
        <f>IF(VLOOKUP("KM112",Languages!$A:$D,1,TRUE)="KM112",VLOOKUP("KM112",Languages!$A:$D,Summary!$C$7,TRUE),NA())</f>
        <v>Kommentit</v>
      </c>
      <c r="Q12" s="463" t="str">
        <f>IF(VLOOKUP("KM113",Languages!$A:$D,1,TRUE)="KM113",VLOOKUP("KM113",Languages!$A:$D,Summary!$C$7,TRUE),NA())</f>
        <v>Sisäinen viittaus</v>
      </c>
      <c r="R12" s="463" t="str">
        <f>IF(VLOOKUP("KM114",Languages!$A:$D,1,TRUE)="KM114",VLOOKUP("KM114",Languages!$A:$D,Summary!$C$7,TRUE),NA())</f>
        <v>Ulkoinen viittaus</v>
      </c>
      <c r="S12" s="463" t="str">
        <f>IF(VLOOKUP("KM115",Languages!$A:$D,1,TRUE)="KM115",VLOOKUP("KM115",Languages!$A:$D,Summary!$C$7,TRUE),NA())</f>
        <v>Kehityskohde</v>
      </c>
      <c r="T12" s="816"/>
      <c r="U12" s="252"/>
    </row>
    <row r="13" spans="1:21" s="278" customFormat="1" ht="30" customHeight="1" x14ac:dyDescent="0.2">
      <c r="A13" s="275"/>
      <c r="B13" s="276"/>
      <c r="C13" s="1216" t="str">
        <f>IF(VLOOKUP(CONCATENATE($C$3,"-",$C12,"-0"),Languages!$A:$D,1,TRUE)=CONCATENATE($C$3,"-",$C12,"-0"),VLOOKUP(CONCATENATE($C$3,"-",$C12,"-0"),Languages!$A:$D,Summary!$C$7,TRUE),NA())</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D13" s="1216"/>
      <c r="E13" s="1216"/>
      <c r="F13" s="1216"/>
      <c r="G13" s="1216"/>
      <c r="H13" s="1216"/>
      <c r="I13" s="1216"/>
      <c r="J13" s="1216"/>
      <c r="K13" s="1216"/>
      <c r="L13" s="154"/>
      <c r="M13" s="252"/>
      <c r="N13" s="815"/>
      <c r="O13" s="1202" t="str">
        <f>IF(VLOOKUP(CONCATENATE($C$3,"-",$C12),Import!$C$11:$H$485,2,FALSE)=0,"",VLOOKUP(CONCATENATE($C$3,"-",$C12),Import!$C$11:$H$485,2,FALSE))</f>
        <v/>
      </c>
      <c r="P13" s="1184" t="str">
        <f>IF(VLOOKUP(CONCATENATE($C$3,"-",$C12),Import!$C$11:$H$485,3,FALSE)=0,"",VLOOKUP(CONCATENATE($C$3,"-",$C12),Import!$C$11:$H$485,3,FALSE))</f>
        <v/>
      </c>
      <c r="Q13" s="1184" t="str">
        <f>IF(VLOOKUP(CONCATENATE($C$3,"-",$C12),Import!$C$11:$H$485,4,FALSE)=0,"",VLOOKUP(CONCATENATE($C$3,"-",$C12),Import!$C$11:$H$485,4,FALSE))</f>
        <v/>
      </c>
      <c r="R13" s="1184" t="str">
        <f>IF(VLOOKUP(CONCATENATE($C$3,"-",$C12),Import!$C$11:$H$485,5,FALSE)=0,"",VLOOKUP(CONCATENATE($C$3,"-",$C12),Import!$C$11:$H$485,5,FALSE))</f>
        <v/>
      </c>
      <c r="S13" s="1184" t="str">
        <f>IF(VLOOKUP(CONCATENATE($C$3,"-",$C12),Import!$C$11:$H$485,6,FALSE)=0,"",VLOOKUP(CONCATENATE($C$3,"-",$C12),Import!$C$11:$H$485,6,FALSE))</f>
        <v/>
      </c>
      <c r="T13" s="816"/>
      <c r="U13" s="252"/>
    </row>
    <row r="14" spans="1:21" s="177" customFormat="1" ht="30" customHeight="1" x14ac:dyDescent="0.25">
      <c r="A14" s="166"/>
      <c r="B14" s="269"/>
      <c r="C14" s="170">
        <v>2</v>
      </c>
      <c r="D14" s="170" t="str">
        <f>IF(VLOOKUP(CONCATENATE($C$3,"-",C14),Languages!$A:$D,1,TRUE)=CONCATENATE($C$3,"-",C14),VLOOKUP(CONCATENATE($C$3,"-",C14),Languages!$A:$D,Summary!$C$7,TRUE),NA())</f>
        <v>Ympäristöjen valvonta</v>
      </c>
      <c r="E14" s="170"/>
      <c r="F14" s="292"/>
      <c r="G14" s="292" t="s">
        <v>16</v>
      </c>
      <c r="H14" s="293"/>
      <c r="I14" s="293"/>
      <c r="J14" s="293"/>
      <c r="K14" s="293"/>
      <c r="L14" s="154"/>
      <c r="M14" s="252"/>
      <c r="N14" s="815"/>
      <c r="O14" s="1203"/>
      <c r="P14" s="1185"/>
      <c r="Q14" s="1185"/>
      <c r="R14" s="1185"/>
      <c r="S14" s="1185"/>
      <c r="T14" s="816"/>
      <c r="U14" s="252"/>
    </row>
    <row r="15" spans="1:21" s="278" customFormat="1" ht="55.05" customHeight="1" x14ac:dyDescent="0.2">
      <c r="A15" s="275"/>
      <c r="B15" s="276"/>
      <c r="C15" s="1216" t="str">
        <f>IF(VLOOKUP(CONCATENATE($C$3,"-",$C14,"-0"),Languages!$A:$D,1,TRUE)=CONCATENATE($C$3,"-",$C14,"-0"),VLOOKUP(CONCATENATE($C$3,"-",$C14,"-0"),Languages!$A:$D,Summary!$C$7,TRUE),NA())</f>
        <v>Organisaation tulee käyttää lokien ja muiden lähteiden kautta kerättyä tietoa saadakseen selkeän yleiskuvan operatiivisen toiminnan ja kyberturvallisuuden tilasta.</v>
      </c>
      <c r="D15" s="1216"/>
      <c r="E15" s="1216"/>
      <c r="F15" s="1216"/>
      <c r="G15" s="1216"/>
      <c r="H15" s="1216"/>
      <c r="I15" s="1216"/>
      <c r="J15" s="1216"/>
      <c r="K15" s="1216"/>
      <c r="L15" s="154"/>
      <c r="M15" s="252"/>
      <c r="N15" s="815"/>
      <c r="O15" s="1239" t="str">
        <f>IF(VLOOKUP(CONCATENATE($C$3,"-",$C14),Import!$C$11:$H$485,2,FALSE)=0,"",VLOOKUP(CONCATENATE($C$3,"-",$C14),Import!$C$11:$H$485,2,FALSE))</f>
        <v/>
      </c>
      <c r="P15" s="1241" t="str">
        <f>IF(VLOOKUP(CONCATENATE($C$3,"-",$C14),Import!$C$11:$H$485,3,FALSE)=0,"",VLOOKUP(CONCATENATE($C$3,"-",$C14),Import!$C$11:$H$485,3,FALSE))</f>
        <v/>
      </c>
      <c r="Q15" s="1241" t="str">
        <f>IF(VLOOKUP(CONCATENATE($C$3,"-",$C14),Import!$C$11:$H$485,4,FALSE)=0,"",VLOOKUP(CONCATENATE($C$3,"-",$C14),Import!$C$11:$H$485,4,FALSE))</f>
        <v/>
      </c>
      <c r="R15" s="1241" t="str">
        <f>IF(VLOOKUP(CONCATENATE($C$3,"-",$C14),Import!$C$11:$H$485,5,FALSE)=0,"",VLOOKUP(CONCATENATE($C$3,"-",$C14),Import!$C$11:$H$485,5,FALSE))</f>
        <v/>
      </c>
      <c r="S15" s="1241" t="str">
        <f>IF(VLOOKUP(CONCATENATE($C$3,"-",$C14),Import!$C$11:$H$485,6,FALSE)=0,"",VLOOKUP(CONCATENATE($C$3,"-",$C14),Import!$C$11:$H$485,6,FALSE))</f>
        <v/>
      </c>
      <c r="T15" s="816"/>
      <c r="U15" s="252"/>
    </row>
    <row r="16" spans="1:21" s="177" customFormat="1" ht="30" customHeight="1" x14ac:dyDescent="0.25">
      <c r="A16" s="166"/>
      <c r="B16" s="269"/>
      <c r="C16" s="170">
        <v>3</v>
      </c>
      <c r="D16" s="170" t="str">
        <f>IF(VLOOKUP(CONCATENATE($C$3,"-",C16),Languages!$A:$D,1,TRUE)=CONCATENATE($C$3,"-",C16),VLOOKUP(CONCATENATE($C$3,"-",C16),Languages!$A:$D,Summary!$C$7,TRUE),NA())</f>
        <v>Tilannekuvan ylläpito</v>
      </c>
      <c r="E16" s="170"/>
      <c r="F16" s="292"/>
      <c r="G16" s="292" t="s">
        <v>16</v>
      </c>
      <c r="H16" s="293"/>
      <c r="I16" s="293"/>
      <c r="J16" s="293"/>
      <c r="K16" s="293"/>
      <c r="L16" s="154"/>
      <c r="M16" s="252"/>
      <c r="N16" s="815"/>
      <c r="O16" s="1240"/>
      <c r="P16" s="1242"/>
      <c r="Q16" s="1242"/>
      <c r="R16" s="1242"/>
      <c r="S16" s="1242"/>
      <c r="T16" s="816"/>
      <c r="U16" s="252"/>
    </row>
    <row r="17" spans="1:21" s="296" customFormat="1" ht="48" customHeight="1" x14ac:dyDescent="0.2">
      <c r="A17" s="305"/>
      <c r="B17" s="1115"/>
      <c r="C17" s="1216" t="str">
        <f>IF(VLOOKUP(CONCATENATE($C$3,"-",$C16,"-0"),Languages!$A:$D,1,TRUE)=CONCATENATE($C$3,"-",$C16,"-0"),VLOOKUP(CONCATENATE($C$3,"-",$C16,"-0"),Languages!$A:$D,Summary!$C$7,TRUE),NA())</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D17" s="1216"/>
      <c r="E17" s="1216"/>
      <c r="F17" s="1216"/>
      <c r="G17" s="1216"/>
      <c r="H17" s="1216"/>
      <c r="I17" s="1216"/>
      <c r="J17" s="1216"/>
      <c r="K17" s="1216"/>
      <c r="L17" s="154"/>
      <c r="M17" s="252"/>
      <c r="N17" s="815"/>
      <c r="O17" s="1239" t="str">
        <f>IF(VLOOKUP(CONCATENATE($C$3,"-",$C16),Import!$C$11:$H$485,2,FALSE)=0,"",VLOOKUP(CONCATENATE($C$3,"-",$C16),Import!$C$11:$H$485,2,FALSE))</f>
        <v/>
      </c>
      <c r="P17" s="1241" t="str">
        <f>IF(VLOOKUP(CONCATENATE($C$3,"-",$C16),Import!$C$11:$H$485,3,FALSE)=0,"",VLOOKUP(CONCATENATE($C$3,"-",$C16),Import!$C$11:$H$485,3,FALSE))</f>
        <v/>
      </c>
      <c r="Q17" s="1241" t="str">
        <f>IF(VLOOKUP(CONCATENATE($C$3,"-",$C16),Import!$C$11:$H$485,4,FALSE)=0,"",VLOOKUP(CONCATENATE($C$3,"-",$C16),Import!$C$11:$H$485,4,FALSE))</f>
        <v/>
      </c>
      <c r="R17" s="1241" t="str">
        <f>IF(VLOOKUP(CONCATENATE($C$3,"-",$C16),Import!$C$11:$H$485,5,FALSE)=0,"",VLOOKUP(CONCATENATE($C$3,"-",$C16),Import!$C$11:$H$485,5,FALSE))</f>
        <v/>
      </c>
      <c r="S17" s="1241" t="str">
        <f>IF(VLOOKUP(CONCATENATE($C$3,"-",$C16),Import!$C$11:$H$485,6,FALSE)=0,"",VLOOKUP(CONCATENATE($C$3,"-",$C16),Import!$C$11:$H$485,6,FALSE))</f>
        <v/>
      </c>
      <c r="T17" s="816"/>
      <c r="U17" s="252"/>
    </row>
    <row r="18" spans="1:21" s="177" customFormat="1" ht="30" customHeight="1" x14ac:dyDescent="0.25">
      <c r="A18" s="166"/>
      <c r="B18" s="269"/>
      <c r="C18" s="170">
        <v>4</v>
      </c>
      <c r="D18" s="170" t="str">
        <f>IF(VLOOKUP(CONCATENATE($C$3,"-",C18),Languages!$A:$D,1,TRUE)=CONCATENATE($C$3,"-",C18),VLOOKUP(CONCATENATE($C$3,"-",C18),Languages!$A:$D,Summary!$C$7,TRUE),NA())</f>
        <v>Yleisiä hallintatoimia</v>
      </c>
      <c r="E18" s="170"/>
      <c r="F18" s="292"/>
      <c r="G18" s="292" t="s">
        <v>16</v>
      </c>
      <c r="H18" s="293"/>
      <c r="I18" s="293"/>
      <c r="J18" s="293"/>
      <c r="K18" s="293"/>
      <c r="L18" s="154"/>
      <c r="M18" s="252"/>
      <c r="N18" s="815"/>
      <c r="O18" s="1240"/>
      <c r="P18" s="1242"/>
      <c r="Q18" s="1242"/>
      <c r="R18" s="1242"/>
      <c r="S18" s="1242"/>
      <c r="T18" s="816"/>
      <c r="U18" s="252"/>
    </row>
    <row r="19" spans="1:21" s="278" customFormat="1" ht="53.4" customHeight="1" x14ac:dyDescent="0.2">
      <c r="A19" s="305"/>
      <c r="B19" s="306"/>
      <c r="C19" s="1216" t="str">
        <f>IF(VLOOKUP(CONCATENATE($C$3,"-",$C18,"-0"),Languages!$A:$D,1,TRUE)=CONCATENATE($C$3,"-",$C18,"-0"),VLOOKUP(CONCATENATE($C$3,"-",$C18,"-0"),Languages!$A:$D,Summary!$C$7,TRUE),NA())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9" s="1216"/>
      <c r="E19" s="1216"/>
      <c r="F19" s="1216"/>
      <c r="G19" s="1216"/>
      <c r="H19" s="1216"/>
      <c r="I19" s="1216"/>
      <c r="J19" s="1216"/>
      <c r="K19" s="1216"/>
      <c r="L19" s="154"/>
      <c r="M19" s="252"/>
      <c r="N19" s="815"/>
      <c r="O19" s="1239" t="str">
        <f>IF(VLOOKUP(CONCATENATE($C$3,"-",$C18),Import!$C$11:$H$485,2,FALSE)=0,"",VLOOKUP(CONCATENATE($C$3,"-",$C18),Import!$C$11:$H$485,2,FALSE))</f>
        <v/>
      </c>
      <c r="P19" s="1241" t="str">
        <f>IF(VLOOKUP(CONCATENATE($C$3,"-",$C18),Import!$C$11:$H$485,3,FALSE)=0,"",VLOOKUP(CONCATENATE($C$3,"-",$C18),Import!$C$11:$H$485,3,FALSE))</f>
        <v/>
      </c>
      <c r="Q19" s="1241" t="str">
        <f>IF(VLOOKUP(CONCATENATE($C$3,"-",$C18),Import!$C$11:$H$485,4,FALSE)=0,"",VLOOKUP(CONCATENATE($C$3,"-",$C18),Import!$C$11:$H$485,4,FALSE))</f>
        <v/>
      </c>
      <c r="R19" s="1241" t="str">
        <f>IF(VLOOKUP(CONCATENATE($C$3,"-",$C18),Import!$C$11:$H$485,5,FALSE)=0,"",VLOOKUP(CONCATENATE($C$3,"-",$C18),Import!$C$11:$H$485,5,FALSE))</f>
        <v/>
      </c>
      <c r="S19" s="1241" t="str">
        <f>IF(VLOOKUP(CONCATENATE($C$3,"-",$C18),Import!$C$11:$H$485,6,FALSE)=0,"",VLOOKUP(CONCATENATE($C$3,"-",$C18),Import!$C$11:$H$485,6,FALSE))</f>
        <v/>
      </c>
      <c r="T19" s="816"/>
      <c r="U19" s="252"/>
    </row>
    <row r="20" spans="1:21" s="278" customFormat="1" ht="20.399999999999999" customHeight="1" x14ac:dyDescent="0.2">
      <c r="A20" s="305"/>
      <c r="B20" s="306"/>
      <c r="C20" s="1116"/>
      <c r="D20" s="1116"/>
      <c r="E20" s="1116"/>
      <c r="F20" s="1116"/>
      <c r="G20" s="1116"/>
      <c r="H20" s="1116"/>
      <c r="I20" s="1116"/>
      <c r="J20" s="1116"/>
      <c r="K20" s="1116"/>
      <c r="L20" s="154"/>
      <c r="M20" s="252"/>
      <c r="N20" s="1131"/>
      <c r="O20" s="1240"/>
      <c r="P20" s="1242"/>
      <c r="Q20" s="1242"/>
      <c r="R20" s="1242"/>
      <c r="S20" s="1242"/>
      <c r="T20" s="1131"/>
      <c r="U20" s="252"/>
    </row>
    <row r="21" spans="1:21" s="278" customFormat="1" ht="20.399999999999999" customHeight="1" x14ac:dyDescent="0.2">
      <c r="A21" s="305"/>
      <c r="B21" s="1121"/>
      <c r="C21" s="1122"/>
      <c r="D21" s="1122"/>
      <c r="E21" s="1122"/>
      <c r="F21" s="1122"/>
      <c r="G21" s="1122"/>
      <c r="H21" s="1122"/>
      <c r="I21" s="1122"/>
      <c r="J21" s="1122"/>
      <c r="K21" s="1122"/>
      <c r="L21" s="1123"/>
      <c r="M21" s="252"/>
      <c r="N21" s="817"/>
      <c r="O21" s="1114"/>
      <c r="P21" s="1114"/>
      <c r="Q21" s="1114"/>
      <c r="R21" s="1114"/>
      <c r="S21" s="1114"/>
      <c r="T21" s="818"/>
      <c r="U21" s="252"/>
    </row>
    <row r="22" spans="1:21" s="278" customFormat="1" ht="18" customHeight="1" x14ac:dyDescent="0.25">
      <c r="A22" s="305"/>
      <c r="B22" s="655"/>
      <c r="C22" s="655"/>
      <c r="D22" s="655"/>
      <c r="E22" s="655"/>
      <c r="F22" s="655"/>
      <c r="G22" s="655"/>
      <c r="H22" s="655"/>
      <c r="I22" s="655"/>
      <c r="J22" s="655"/>
      <c r="K22" s="655"/>
      <c r="L22" s="656"/>
      <c r="M22" s="135"/>
      <c r="N22" s="135"/>
      <c r="O22" s="251"/>
      <c r="P22" s="250"/>
      <c r="Q22" s="771"/>
      <c r="R22" s="250"/>
      <c r="S22" s="250"/>
      <c r="T22" s="135"/>
      <c r="U22" s="135"/>
    </row>
    <row r="23" spans="1:21" s="278" customFormat="1" ht="19.95" customHeight="1" x14ac:dyDescent="0.2">
      <c r="A23" s="305"/>
      <c r="B23" s="649"/>
      <c r="C23" s="647"/>
      <c r="D23" s="647"/>
      <c r="E23" s="647"/>
      <c r="F23" s="647"/>
      <c r="G23" s="647"/>
      <c r="H23" s="647"/>
      <c r="I23" s="647"/>
      <c r="J23" s="647"/>
      <c r="K23" s="647"/>
      <c r="L23" s="648"/>
      <c r="M23" s="252"/>
      <c r="N23" s="464" t="str">
        <f>IF(VLOOKUP("KM116",Languages!$A:$D,1,TRUE)="KM116",VLOOKUP("KM116",Languages!$A:$D,Summary!$C$7,TRUE),NA())</f>
        <v>EDELLINEN ARVIOINTI</v>
      </c>
      <c r="O23" s="430"/>
      <c r="P23" s="255"/>
      <c r="Q23" s="772" t="str">
        <f>IF(VLOOKUP("KM110",Languages!$A:$D,1,TRUE)="KM110",VLOOKUP("KM110",Languages!$A:$D,Summary!$C$7,TRUE),NA())</f>
        <v>Päivämäärä</v>
      </c>
      <c r="R23" s="255"/>
      <c r="S23" s="255"/>
      <c r="T23" s="147"/>
      <c r="U23" s="252"/>
    </row>
    <row r="24" spans="1:21" s="177" customFormat="1" ht="19.95" customHeight="1" x14ac:dyDescent="0.25">
      <c r="A24" s="166"/>
      <c r="B24" s="269"/>
      <c r="C24" s="170">
        <v>1</v>
      </c>
      <c r="D24" s="170" t="str">
        <f>IF(VLOOKUP(CONCATENATE($C$3,"-",C24),Languages!$A:$D,1,TRUE)=CONCATENATE($C$3,"-",C24),VLOOKUP(CONCATENATE($C$3,"-",C24),Languages!$A:$D,Summary!$C$7,TRUE),NA())</f>
        <v>Lokienhallinta</v>
      </c>
      <c r="E24" s="170"/>
      <c r="F24" s="271"/>
      <c r="G24" s="271"/>
      <c r="H24" s="272"/>
      <c r="I24" s="272"/>
      <c r="J24" s="272"/>
      <c r="K24" s="272"/>
      <c r="L24" s="154"/>
      <c r="M24" s="305"/>
      <c r="N24" s="306"/>
      <c r="O24" s="431"/>
      <c r="P24" s="426"/>
      <c r="Q24" s="697"/>
      <c r="R24" s="770"/>
      <c r="S24" s="770"/>
      <c r="T24" s="277"/>
      <c r="U24" s="305"/>
    </row>
    <row r="25" spans="1:21" s="285" customFormat="1" ht="19.95" customHeight="1" x14ac:dyDescent="0.2">
      <c r="A25" s="304"/>
      <c r="B25" s="279"/>
      <c r="C25" s="280" t="str">
        <f>IF(VLOOKUP("GEN-LEVEL",Languages!$A:$D,1,TRUE)="GEN-LEVEL",VLOOKUP("GEN-LEVEL",Languages!$A:$D,Summary!$C$7,TRUE),NA())</f>
        <v>Taso</v>
      </c>
      <c r="D25" s="280"/>
      <c r="E25" s="281" t="str">
        <f>IF(VLOOKUP("GEN-PRACTICE",Languages!$A:$D,1,TRUE)="GEN-PRACTICE",VLOOKUP("GEN-PRACTICE",Languages!$A:$D,Summary!$C$7,TRUE),NA())</f>
        <v>Käytäntö</v>
      </c>
      <c r="F25" s="282"/>
      <c r="G25" s="904" t="str">
        <f>IF(VLOOKUP("GEN-ANSWER",Languages!$A:$D,1,TRUE)="GEN-ANSWER",VLOOKUP("GEN-ANSWER",Languages!$A:$D,Summary!$C$7,TRUE),NA())</f>
        <v>Vastaus</v>
      </c>
      <c r="H25" s="905" t="str">
        <f>IF(VLOOKUP("KM112",Languages!$A:$D,1,TRUE)="KM112",VLOOKUP("KM112",Languages!$A:$D,Summary!$C$7,TRUE),NA())</f>
        <v>Kommentit</v>
      </c>
      <c r="I25" s="905" t="str">
        <f>IF(VLOOKUP("KM113",Languages!$A:$D,1,TRUE)="KM113",VLOOKUP("KM113",Languages!$A:$D,Summary!$C$7,TRUE),NA())</f>
        <v>Sisäinen viittaus</v>
      </c>
      <c r="J25" s="905" t="str">
        <f>IF(VLOOKUP("KM114",Languages!$A:$D,1,TRUE)="KM114",VLOOKUP("KM114",Languages!$A:$D,Summary!$C$7,TRUE),NA())</f>
        <v>Ulkoinen viittaus</v>
      </c>
      <c r="K25" s="905" t="str">
        <f>IF(VLOOKUP("KM115",Languages!$A:$D,1,TRUE)="KM115",VLOOKUP("KM115",Languages!$A:$D,Summary!$C$7,TRUE),NA())</f>
        <v>Kehityskohde</v>
      </c>
      <c r="L25" s="283"/>
      <c r="M25" s="284"/>
      <c r="N25" s="279"/>
      <c r="O25" s="463" t="str">
        <f>IF(VLOOKUP("GEN-ANSWER",Languages!$A:$D,1,TRUE)="GEN-ANSWER",VLOOKUP("GEN-ANSWER",Languages!$A:$D,Summary!$C$7,TRUE),NA())</f>
        <v>Vastaus</v>
      </c>
      <c r="P25" s="463" t="str">
        <f>IF(VLOOKUP("KM112",Languages!$A:$D,1,TRUE)="KM112",VLOOKUP("KM112",Languages!$A:$D,Summary!$C$7,TRUE),NA())</f>
        <v>Kommentit</v>
      </c>
      <c r="Q25" s="463" t="str">
        <f>IF(VLOOKUP("KM113",Languages!$A:$D,1,TRUE)="KM113",VLOOKUP("KM113",Languages!$A:$D,Summary!$C$7,TRUE),NA())</f>
        <v>Sisäinen viittaus</v>
      </c>
      <c r="R25" s="463" t="str">
        <f>IF(VLOOKUP("KM114",Languages!$A:$D,1,TRUE)="KM114",VLOOKUP("KM114",Languages!$A:$D,Summary!$C$7,TRUE),NA())</f>
        <v>Ulkoinen viittaus</v>
      </c>
      <c r="S25" s="463" t="str">
        <f>IF(VLOOKUP("KM115",Languages!$A:$D,1,TRUE)="KM115",VLOOKUP("KM115",Languages!$A:$D,Summary!$C$7,TRUE),NA())</f>
        <v>Kehityskohde</v>
      </c>
      <c r="T25" s="283"/>
      <c r="U25" s="284"/>
    </row>
    <row r="26" spans="1:21" s="289" customFormat="1" ht="45" customHeight="1" x14ac:dyDescent="0.2">
      <c r="A26" s="275"/>
      <c r="B26" s="1190"/>
      <c r="C26" s="521">
        <v>1</v>
      </c>
      <c r="D26" s="390" t="s">
        <v>5</v>
      </c>
      <c r="E26" s="466" t="str">
        <f>IF(VLOOKUP(CONCATENATE($C$3,"-",$D26),Languages!$A:$D,1,TRUE)=CONCATENATE($C$3,"-",$D26),VLOOKUP(CONCATENATE($C$3,"-",$D26),Languages!$A:$D,Summary!$C$7,TRUE),NA())</f>
        <v>Lokitietoa kerätään toiminnon kannalta tärkeistä laitteista, ohjelmistoista ja tietovarannoista (ainakin tapauskohtaisesti). Tasolla 1 tämän ei tarvitse olla systemaattista ja säännöllistä.</v>
      </c>
      <c r="F26" s="391">
        <f t="shared" ref="F26:F31" si="0">IFERROR(INT(LEFT($G26,1)),0)</f>
        <v>0</v>
      </c>
      <c r="G26" s="456" t="s">
        <v>2542</v>
      </c>
      <c r="H26" s="486"/>
      <c r="I26" s="486"/>
      <c r="J26" s="486"/>
      <c r="K26" s="487"/>
      <c r="L26" s="154"/>
      <c r="M26" s="252"/>
      <c r="N26" s="149"/>
      <c r="O26" s="886" t="str">
        <f>VLOOKUP(VLOOKUP($C$3&amp;"-"&amp;$D26,Import!$C:$D,2,FALSE),Parameters!$C$18:$F$22,Summary!$C$7,FALSE)</f>
        <v xml:space="preserve">0 - Vastaus puuttuu </v>
      </c>
      <c r="P26" s="911" t="str">
        <f>IF(VLOOKUP($C$3&amp;"-"&amp;$D26,Import!$C:$H,3,FALSE)=0,"",VLOOKUP($C$3&amp;"-"&amp;$D26,Import!$C:$H,3,FALSE))</f>
        <v/>
      </c>
      <c r="Q26" s="911" t="str">
        <f>IF(VLOOKUP($C$3&amp;"-"&amp;$D26,Import!$C:$H,4,FALSE)=0,"",VLOOKUP($C$3&amp;"-"&amp;$D26,Import!$C:$H,4,FALSE))</f>
        <v/>
      </c>
      <c r="R26" s="911" t="str">
        <f>IF(VLOOKUP($C$3&amp;"-"&amp;$D26,Import!$C:$H,5,FALSE)=0,"",VLOOKUP($C$3&amp;"-"&amp;$D26,Import!$C:$H,5,FALSE))</f>
        <v/>
      </c>
      <c r="S26" s="912" t="str">
        <f>IF(VLOOKUP($C$3&amp;"-"&amp;$D26,Import!$C:$H,6,FALSE)=0,"",VLOOKUP($C$3&amp;"-"&amp;$D26,Import!$C:$H,6,FALSE))</f>
        <v/>
      </c>
      <c r="T26" s="154"/>
      <c r="U26" s="252"/>
    </row>
    <row r="27" spans="1:21" s="289" customFormat="1" ht="45" customHeight="1" x14ac:dyDescent="0.2">
      <c r="A27" s="275"/>
      <c r="B27" s="1190"/>
      <c r="C27" s="1226">
        <v>2</v>
      </c>
      <c r="D27" s="387" t="s">
        <v>7</v>
      </c>
      <c r="E27" s="467" t="str">
        <f>IF(VLOOKUP(CONCATENATE($C$3,"-",$D27),Languages!$A:$D,1,TRUE)=CONCATENATE($C$3,"-",$D27),VLOOKUP(CONCATENATE($C$3,"-",$D27),Languages!$A:$D,Summary!$C$7,TRUE),NA())</f>
        <v>Lokitietoa kerätään sellaisista laitteista, ohjelmistoista ja tietovarannoista, joita voitaisiin käyttää hyökkääjän tavoitteen saavuttamiseen.</v>
      </c>
      <c r="F27" s="386">
        <f t="shared" si="0"/>
        <v>0</v>
      </c>
      <c r="G27" s="445" t="s">
        <v>2542</v>
      </c>
      <c r="H27" s="446"/>
      <c r="I27" s="446"/>
      <c r="J27" s="446"/>
      <c r="K27" s="447"/>
      <c r="L27" s="154"/>
      <c r="M27" s="252"/>
      <c r="N27" s="149"/>
      <c r="O27" s="889" t="str">
        <f>VLOOKUP(VLOOKUP($C$3&amp;"-"&amp;$D27,Import!$C:$D,2,FALSE),Parameters!$C$18:$F$22,Summary!$C$7,FALSE)</f>
        <v xml:space="preserve">0 - Vastaus puuttuu </v>
      </c>
      <c r="P27" s="931" t="str">
        <f>IF(VLOOKUP($C$3&amp;"-"&amp;$D27,Import!$C:$H,3,FALSE)=0,"",VLOOKUP($C$3&amp;"-"&amp;$D27,Import!$C:$H,3,FALSE))</f>
        <v/>
      </c>
      <c r="Q27" s="931" t="str">
        <f>IF(VLOOKUP($C$3&amp;"-"&amp;$D27,Import!$C:$H,4,FALSE)=0,"",VLOOKUP($C$3&amp;"-"&amp;$D27,Import!$C:$H,4,FALSE))</f>
        <v/>
      </c>
      <c r="R27" s="931" t="str">
        <f>IF(VLOOKUP($C$3&amp;"-"&amp;$D27,Import!$C:$H,5,FALSE)=0,"",VLOOKUP($C$3&amp;"-"&amp;$D27,Import!$C:$H,5,FALSE))</f>
        <v/>
      </c>
      <c r="S27" s="932" t="str">
        <f>IF(VLOOKUP($C$3&amp;"-"&amp;$D27,Import!$C:$H,6,FALSE)=0,"",VLOOKUP($C$3&amp;"-"&amp;$D27,Import!$C:$H,6,FALSE))</f>
        <v/>
      </c>
      <c r="T27" s="154"/>
      <c r="U27" s="252"/>
    </row>
    <row r="28" spans="1:21" s="289" customFormat="1" ht="45" customHeight="1" x14ac:dyDescent="0.2">
      <c r="A28" s="275"/>
      <c r="B28" s="1190"/>
      <c r="C28" s="1227"/>
      <c r="D28" s="286" t="s">
        <v>8</v>
      </c>
      <c r="E28" s="468" t="str">
        <f>IF(VLOOKUP(CONCATENATE($C$3,"-",$D28),Languages!$A:$D,1,TRUE)=CONCATENATE($C$3,"-",$D28),VLOOKUP(CONCATENATE($C$3,"-",$D28),Languages!$A:$D,Summary!$C$7,TRUE),NA())</f>
        <v xml:space="preserve">IT- ja OT-laitteille, ohjelmistoille ja tietovarannoille, jotka ovat tärkeitä toiminnon kannalta tai joita hyökkääjä voisi hyödyntää tavoitteensa saavuttamiseen, on määritetty ja ylläpidetty lokitusvaatimuksia. </v>
      </c>
      <c r="F28" s="287">
        <f t="shared" si="0"/>
        <v>0</v>
      </c>
      <c r="G28" s="307" t="s">
        <v>2542</v>
      </c>
      <c r="H28" s="440"/>
      <c r="I28" s="440"/>
      <c r="J28" s="440"/>
      <c r="K28" s="448"/>
      <c r="L28" s="154"/>
      <c r="M28" s="252"/>
      <c r="N28" s="149"/>
      <c r="O28" s="892" t="str">
        <f>VLOOKUP(VLOOKUP($C$3&amp;"-"&amp;$D28,Import!$C:$D,2,FALSE),Parameters!$C$18:$F$22,Summary!$C$7,FALSE)</f>
        <v xml:space="preserve">0 - Vastaus puuttuu </v>
      </c>
      <c r="P28" s="914" t="str">
        <f>IF(VLOOKUP($C$3&amp;"-"&amp;$D28,Import!$C:$H,3,FALSE)=0,"",VLOOKUP($C$3&amp;"-"&amp;$D28,Import!$C:$H,3,FALSE))</f>
        <v/>
      </c>
      <c r="Q28" s="914" t="str">
        <f>IF(VLOOKUP($C$3&amp;"-"&amp;$D28,Import!$C:$H,4,FALSE)=0,"",VLOOKUP($C$3&amp;"-"&amp;$D28,Import!$C:$H,4,FALSE))</f>
        <v/>
      </c>
      <c r="R28" s="914" t="str">
        <f>IF(VLOOKUP($C$3&amp;"-"&amp;$D28,Import!$C:$H,5,FALSE)=0,"",VLOOKUP($C$3&amp;"-"&amp;$D28,Import!$C:$H,5,FALSE))</f>
        <v/>
      </c>
      <c r="S28" s="915" t="str">
        <f>IF(VLOOKUP($C$3&amp;"-"&amp;$D28,Import!$C:$H,6,FALSE)=0,"",VLOOKUP($C$3&amp;"-"&amp;$D28,Import!$C:$H,6,FALSE))</f>
        <v/>
      </c>
      <c r="T28" s="154"/>
      <c r="U28" s="252"/>
    </row>
    <row r="29" spans="1:21" s="289" customFormat="1" ht="34.950000000000003" customHeight="1" x14ac:dyDescent="0.2">
      <c r="A29" s="275"/>
      <c r="B29" s="1190"/>
      <c r="C29" s="1227"/>
      <c r="D29" s="407" t="s">
        <v>9</v>
      </c>
      <c r="E29" s="472" t="str">
        <f>IF(VLOOKUP(CONCATENATE($C$3,"-",$D29),Languages!$A:$D,1,TRUE)=CONCATENATE($C$3,"-",$D29),VLOOKUP(CONCATENATE($C$3,"-",$D29),Languages!$A:$D,Summary!$C$7,TRUE),NA())</f>
        <v>Verkko- ja päätelaitteiden valvontainfrastruktuurille on määritetty lokitusvaatimukset, joita myös ylläpidetään. (esimerkiksi internetyhdyskäytäville (gateway), EDR ohjelmistot, IDPS tunkeutumisen havaitsemis- ja estojärjestelmät)</v>
      </c>
      <c r="F29" s="393">
        <f t="shared" si="0"/>
        <v>0</v>
      </c>
      <c r="G29" s="449" t="s">
        <v>2542</v>
      </c>
      <c r="H29" s="441"/>
      <c r="I29" s="441"/>
      <c r="J29" s="441"/>
      <c r="K29" s="450"/>
      <c r="L29" s="154"/>
      <c r="M29" s="252"/>
      <c r="N29" s="149"/>
      <c r="O29" s="897" t="str">
        <f>VLOOKUP(VLOOKUP($C$3&amp;"-"&amp;$D29,Import!$C:$D,2,FALSE),Parameters!$C$18:$F$22,Summary!$C$7,FALSE)</f>
        <v xml:space="preserve">0 - Vastaus puuttuu </v>
      </c>
      <c r="P29" s="933" t="str">
        <f>IF(VLOOKUP($C$3&amp;"-"&amp;$D29,Import!$C:$H,3,FALSE)=0,"",VLOOKUP($C$3&amp;"-"&amp;$D29,Import!$C:$H,3,FALSE))</f>
        <v/>
      </c>
      <c r="Q29" s="933" t="str">
        <f>IF(VLOOKUP($C$3&amp;"-"&amp;$D29,Import!$C:$H,4,FALSE)=0,"",VLOOKUP($C$3&amp;"-"&amp;$D29,Import!$C:$H,4,FALSE))</f>
        <v/>
      </c>
      <c r="R29" s="933" t="str">
        <f>IF(VLOOKUP($C$3&amp;"-"&amp;$D29,Import!$C:$H,5,FALSE)=0,"",VLOOKUP($C$3&amp;"-"&amp;$D29,Import!$C:$H,5,FALSE))</f>
        <v/>
      </c>
      <c r="S29" s="934" t="str">
        <f>IF(VLOOKUP($C$3&amp;"-"&amp;$D29,Import!$C:$H,6,FALSE)=0,"",VLOOKUP($C$3&amp;"-"&amp;$D29,Import!$C:$H,6,FALSE))</f>
        <v/>
      </c>
      <c r="T29" s="154"/>
      <c r="U29" s="252"/>
    </row>
    <row r="30" spans="1:21" s="289" customFormat="1" ht="34.950000000000003" customHeight="1" x14ac:dyDescent="0.2">
      <c r="A30" s="275"/>
      <c r="B30" s="1012"/>
      <c r="C30" s="1228"/>
      <c r="D30" s="1028" t="s">
        <v>10</v>
      </c>
      <c r="E30" s="496" t="str">
        <f>IF(VLOOKUP(CONCATENATE($C$3,"-",$D30),Languages!$A:$D,1,TRUE)=CONCATENATE($C$3,"-",$D30),VLOOKUP(CONCATENATE($C$3,"-",$D30),Languages!$A:$D,Summary!$C$7,TRUE),NA())</f>
        <v>Lokitieto koostetaan yhteen keskitetysti toiminnon sisällä.</v>
      </c>
      <c r="F30" s="393">
        <f t="shared" si="0"/>
        <v>0</v>
      </c>
      <c r="G30" s="492" t="s">
        <v>2542</v>
      </c>
      <c r="H30" s="1029"/>
      <c r="I30" s="1029"/>
      <c r="J30" s="1029"/>
      <c r="K30" s="1030"/>
      <c r="L30" s="154"/>
      <c r="M30" s="252"/>
      <c r="N30" s="149"/>
      <c r="O30" s="897" t="str">
        <f>VLOOKUP(VLOOKUP($C$3&amp;"-"&amp;$D30,Import!$C:$D,2,FALSE),Parameters!$C$18:$F$22,Summary!$C$7,FALSE)</f>
        <v xml:space="preserve">0 - Vastaus puuttuu </v>
      </c>
      <c r="P30" s="933" t="str">
        <f>IF(VLOOKUP($C$3&amp;"-"&amp;$D30,Import!$C:$H,3,FALSE)=0,"",VLOOKUP($C$3&amp;"-"&amp;$D30,Import!$C:$H,3,FALSE))</f>
        <v/>
      </c>
      <c r="Q30" s="933" t="str">
        <f>IF(VLOOKUP($C$3&amp;"-"&amp;$D30,Import!$C:$H,4,FALSE)=0,"",VLOOKUP($C$3&amp;"-"&amp;$D30,Import!$C:$H,4,FALSE))</f>
        <v/>
      </c>
      <c r="R30" s="933" t="str">
        <f>IF(VLOOKUP($C$3&amp;"-"&amp;$D30,Import!$C:$H,5,FALSE)=0,"",VLOOKUP($C$3&amp;"-"&amp;$D30,Import!$C:$H,5,FALSE))</f>
        <v/>
      </c>
      <c r="S30" s="934" t="str">
        <f>IF(VLOOKUP($C$3&amp;"-"&amp;$D30,Import!$C:$H,6,FALSE)=0,"",VLOOKUP($C$3&amp;"-"&amp;$D30,Import!$C:$H,6,FALSE))</f>
        <v/>
      </c>
      <c r="T30" s="154"/>
      <c r="U30" s="252"/>
    </row>
    <row r="31" spans="1:21" s="289" customFormat="1" ht="34.950000000000003" customHeight="1" x14ac:dyDescent="0.2">
      <c r="A31" s="275"/>
      <c r="B31" s="382"/>
      <c r="C31" s="527">
        <v>3</v>
      </c>
      <c r="D31" s="390" t="s">
        <v>11</v>
      </c>
      <c r="E31" s="496" t="str">
        <f>IF(VLOOKUP(CONCATENATE($C$3,"-",$D31),Languages!$A:$D,1,TRUE)=CONCATENATE($C$3,"-",$D31),VLOOKUP(CONCATENATE($C$3,"-",$D31),Languages!$A:$D,Summary!$C$7,TRUE),NA())</f>
        <v>Korkean prioriteetin laitteista, ohjelmistoista ja tietovarannoista kerätään tarkempaa lokitietoa.</v>
      </c>
      <c r="F31" s="391">
        <f t="shared" si="0"/>
        <v>0</v>
      </c>
      <c r="G31" s="456" t="s">
        <v>2542</v>
      </c>
      <c r="H31" s="486"/>
      <c r="I31" s="486"/>
      <c r="J31" s="486"/>
      <c r="K31" s="487"/>
      <c r="L31" s="154"/>
      <c r="M31" s="252"/>
      <c r="N31" s="149"/>
      <c r="O31" s="886" t="str">
        <f>VLOOKUP(VLOOKUP($C$3&amp;"-"&amp;$D31,Import!$C:$D,2,FALSE),Parameters!$C$18:$F$22,Summary!$C$7,FALSE)</f>
        <v xml:space="preserve">0 - Vastaus puuttuu </v>
      </c>
      <c r="P31" s="911" t="str">
        <f>IF(VLOOKUP($C$3&amp;"-"&amp;$D31,Import!$C:$H,3,FALSE)=0,"",VLOOKUP($C$3&amp;"-"&amp;$D31,Import!$C:$H,3,FALSE))</f>
        <v/>
      </c>
      <c r="Q31" s="911" t="str">
        <f>IF(VLOOKUP($C$3&amp;"-"&amp;$D31,Import!$C:$H,4,FALSE)=0,"",VLOOKUP($C$3&amp;"-"&amp;$D31,Import!$C:$H,4,FALSE))</f>
        <v/>
      </c>
      <c r="R31" s="911" t="str">
        <f>IF(VLOOKUP($C$3&amp;"-"&amp;$D31,Import!$C:$H,5,FALSE)=0,"",VLOOKUP($C$3&amp;"-"&amp;$D31,Import!$C:$H,5,FALSE))</f>
        <v/>
      </c>
      <c r="S31" s="912" t="str">
        <f>IF(VLOOKUP($C$3&amp;"-"&amp;$D31,Import!$C:$H,6,FALSE)=0,"",VLOOKUP($C$3&amp;"-"&amp;$D31,Import!$C:$H,6,FALSE))</f>
        <v/>
      </c>
      <c r="T31" s="154"/>
      <c r="U31" s="252"/>
    </row>
    <row r="32" spans="1:21" s="177" customFormat="1" ht="30" customHeight="1" x14ac:dyDescent="0.25">
      <c r="A32" s="166"/>
      <c r="B32" s="269"/>
      <c r="C32" s="170">
        <v>2</v>
      </c>
      <c r="D32" s="170" t="str">
        <f>IF(VLOOKUP(CONCATENATE($C$3,"-",C32),Languages!$A:$D,1,TRUE)=CONCATENATE($C$3,"-",C32),VLOOKUP(CONCATENATE($C$3,"-",C32),Languages!$A:$D,Summary!$C$7,TRUE),NA())</f>
        <v>Ympäristöjen valvonta</v>
      </c>
      <c r="E32" s="170"/>
      <c r="F32" s="292"/>
      <c r="G32" s="907"/>
      <c r="H32" s="929"/>
      <c r="I32" s="929"/>
      <c r="J32" s="929"/>
      <c r="K32" s="929"/>
      <c r="L32" s="154"/>
      <c r="M32" s="252"/>
      <c r="N32" s="149"/>
      <c r="O32" s="292"/>
      <c r="P32" s="293"/>
      <c r="Q32" s="293"/>
      <c r="R32" s="293"/>
      <c r="S32" s="293"/>
      <c r="T32" s="154"/>
      <c r="U32" s="252"/>
    </row>
    <row r="33" spans="1:21" s="285" customFormat="1" ht="19.95" customHeight="1" x14ac:dyDescent="0.2">
      <c r="A33" s="304"/>
      <c r="B33" s="279"/>
      <c r="C33" s="280" t="str">
        <f>IF(VLOOKUP("GEN-LEVEL",Languages!$A:$D,1,TRUE)="GEN-LEVEL",VLOOKUP("GEN-LEVEL",Languages!$A:$D,Summary!$C$7,TRUE),NA())</f>
        <v>Taso</v>
      </c>
      <c r="D33" s="280"/>
      <c r="E33" s="281" t="str">
        <f>IF(VLOOKUP("GEN-PRACTICE",Languages!$A:$D,1,TRUE)="GEN-PRACTICE",VLOOKUP("GEN-PRACTICE",Languages!$A:$D,Summary!$C$7,TRUE),NA())</f>
        <v>Käytäntö</v>
      </c>
      <c r="F33" s="282"/>
      <c r="G33" s="904" t="str">
        <f>IF(VLOOKUP("GEN-ANSWER",Languages!$A:$D,1,TRUE)="GEN-ANSWER",VLOOKUP("GEN-ANSWER",Languages!$A:$D,Summary!$C$7,TRUE),NA())</f>
        <v>Vastaus</v>
      </c>
      <c r="H33" s="905" t="str">
        <f>IF(VLOOKUP("KM112",Languages!$A:$D,1,TRUE)="KM112",VLOOKUP("KM112",Languages!$A:$D,Summary!$C$7,TRUE),NA())</f>
        <v>Kommentit</v>
      </c>
      <c r="I33" s="905" t="str">
        <f>IF(VLOOKUP("KM113",Languages!$A:$D,1,TRUE)="KM113",VLOOKUP("KM113",Languages!$A:$D,Summary!$C$7,TRUE),NA())</f>
        <v>Sisäinen viittaus</v>
      </c>
      <c r="J33" s="905" t="str">
        <f>IF(VLOOKUP("KM114",Languages!$A:$D,1,TRUE)="KM114",VLOOKUP("KM114",Languages!$A:$D,Summary!$C$7,TRUE),NA())</f>
        <v>Ulkoinen viittaus</v>
      </c>
      <c r="K33" s="905" t="str">
        <f>IF(VLOOKUP("KM115",Languages!$A:$D,1,TRUE)="KM115",VLOOKUP("KM115",Languages!$A:$D,Summary!$C$7,TRUE),NA())</f>
        <v>Kehityskohde</v>
      </c>
      <c r="L33" s="283"/>
      <c r="M33" s="284"/>
      <c r="N33" s="279"/>
      <c r="O33" s="463" t="str">
        <f>IF(VLOOKUP("GEN-ANSWER",Languages!$A:$D,1,TRUE)="GEN-ANSWER",VLOOKUP("GEN-ANSWER",Languages!$A:$D,Summary!$C$7,TRUE),NA())</f>
        <v>Vastaus</v>
      </c>
      <c r="P33" s="463" t="str">
        <f>IF(VLOOKUP("KM112",Languages!$A:$D,1,TRUE)="KM112",VLOOKUP("KM112",Languages!$A:$D,Summary!$C$7,TRUE),NA())</f>
        <v>Kommentit</v>
      </c>
      <c r="Q33" s="463" t="str">
        <f>IF(VLOOKUP("KM113",Languages!$A:$D,1,TRUE)="KM113",VLOOKUP("KM113",Languages!$A:$D,Summary!$C$7,TRUE),NA())</f>
        <v>Sisäinen viittaus</v>
      </c>
      <c r="R33" s="463" t="str">
        <f>IF(VLOOKUP("KM114",Languages!$A:$D,1,TRUE)="KM114",VLOOKUP("KM114",Languages!$A:$D,Summary!$C$7,TRUE),NA())</f>
        <v>Ulkoinen viittaus</v>
      </c>
      <c r="S33" s="463" t="str">
        <f>IF(VLOOKUP("KM115",Languages!$A:$D,1,TRUE)="KM115",VLOOKUP("KM115",Languages!$A:$D,Summary!$C$7,TRUE),NA())</f>
        <v>Kehityskohde</v>
      </c>
      <c r="T33" s="283"/>
      <c r="U33" s="284"/>
    </row>
    <row r="34" spans="1:21" s="296" customFormat="1" ht="45" customHeight="1" x14ac:dyDescent="0.2">
      <c r="A34" s="305"/>
      <c r="B34" s="1199"/>
      <c r="C34" s="1214">
        <v>1</v>
      </c>
      <c r="D34" s="395" t="s">
        <v>17</v>
      </c>
      <c r="E34" s="467" t="str">
        <f>IF(VLOOKUP(CONCATENATE($C$3,"-",$D34),Languages!$A:$D,1,TRUE)=CONCATENATE($C$3,"-",$D34),VLOOKUP(CONCATENATE($C$3,"-",$D34),Languages!$A:$D,Summary!$C$7,TRUE),NA())</f>
        <v>Lokitietojen tarkastelua ja muuta kyberturvallisuusvalvontaa tehdään. Tasolla 1 tämän ei tarvitse olla systemaattista ja säännöllistä.</v>
      </c>
      <c r="F34" s="386">
        <f t="shared" ref="F34:F42" si="1">IFERROR(INT(LEFT($G34,1)),0)</f>
        <v>0</v>
      </c>
      <c r="G34" s="445" t="s">
        <v>2542</v>
      </c>
      <c r="H34" s="446"/>
      <c r="I34" s="446"/>
      <c r="J34" s="446"/>
      <c r="K34" s="447"/>
      <c r="L34" s="154"/>
      <c r="M34" s="252"/>
      <c r="N34" s="149"/>
      <c r="O34" s="889" t="str">
        <f>VLOOKUP(VLOOKUP($C$3&amp;"-"&amp;$D34,Import!$C:$D,2,FALSE),Parameters!$C$18:$F$22,Summary!$C$7,FALSE)</f>
        <v xml:space="preserve">0 - Vastaus puuttuu </v>
      </c>
      <c r="P34" s="931" t="str">
        <f>IF(VLOOKUP($C$3&amp;"-"&amp;$D34,Import!$C:$H,3,FALSE)=0,"",VLOOKUP($C$3&amp;"-"&amp;$D34,Import!$C:$H,3,FALSE))</f>
        <v/>
      </c>
      <c r="Q34" s="931" t="str">
        <f>IF(VLOOKUP($C$3&amp;"-"&amp;$D34,Import!$C:$H,4,FALSE)=0,"",VLOOKUP($C$3&amp;"-"&amp;$D34,Import!$C:$H,4,FALSE))</f>
        <v/>
      </c>
      <c r="R34" s="931" t="str">
        <f>IF(VLOOKUP($C$3&amp;"-"&amp;$D34,Import!$C:$H,5,FALSE)=0,"",VLOOKUP($C$3&amp;"-"&amp;$D34,Import!$C:$H,5,FALSE))</f>
        <v/>
      </c>
      <c r="S34" s="932" t="str">
        <f>IF(VLOOKUP($C$3&amp;"-"&amp;$D34,Import!$C:$H,6,FALSE)=0,"",VLOOKUP($C$3&amp;"-"&amp;$D34,Import!$C:$H,6,FALSE))</f>
        <v/>
      </c>
      <c r="T34" s="154"/>
      <c r="U34" s="252"/>
    </row>
    <row r="35" spans="1:21" s="296" customFormat="1" ht="45" customHeight="1" x14ac:dyDescent="0.2">
      <c r="A35" s="305"/>
      <c r="B35" s="1199"/>
      <c r="C35" s="1215"/>
      <c r="D35" s="396" t="s">
        <v>18</v>
      </c>
      <c r="E35" s="474" t="str">
        <f>IF(VLOOKUP(CONCATENATE($C$3,"-",$D35),Languages!$A:$D,1,TRUE)=CONCATENATE($C$3,"-",$D35),VLOOKUP(CONCATENATE($C$3,"-",$D35),Languages!$A:$D,Summary!$C$7,TRUE),NA())</f>
        <v>IT- ja OT-ympäristöjen valvontatietoja katselmoidaan säännöllisesti poikkeavan toiminnan ja mahdollisten kybertapahtumien varalta (ainakin tapauskohtaisesti). Tasolla 1 tämän ei tarvitse olla systemaattista.</v>
      </c>
      <c r="F35" s="393">
        <f t="shared" si="1"/>
        <v>0</v>
      </c>
      <c r="G35" s="449" t="s">
        <v>2542</v>
      </c>
      <c r="H35" s="444"/>
      <c r="I35" s="444"/>
      <c r="J35" s="444"/>
      <c r="K35" s="453"/>
      <c r="L35" s="154"/>
      <c r="M35" s="252"/>
      <c r="N35" s="149"/>
      <c r="O35" s="897" t="str">
        <f>VLOOKUP(VLOOKUP($C$3&amp;"-"&amp;$D35,Import!$C:$D,2,FALSE),Parameters!$C$18:$F$22,Summary!$C$7,FALSE)</f>
        <v xml:space="preserve">0 - Vastaus puuttuu </v>
      </c>
      <c r="P35" s="923" t="str">
        <f>IF(VLOOKUP($C$3&amp;"-"&amp;$D35,Import!$C:$H,3,FALSE)=0,"",VLOOKUP($C$3&amp;"-"&amp;$D35,Import!$C:$H,3,FALSE))</f>
        <v/>
      </c>
      <c r="Q35" s="923" t="str">
        <f>IF(VLOOKUP($C$3&amp;"-"&amp;$D35,Import!$C:$H,4,FALSE)=0,"",VLOOKUP($C$3&amp;"-"&amp;$D35,Import!$C:$H,4,FALSE))</f>
        <v/>
      </c>
      <c r="R35" s="923" t="str">
        <f>IF(VLOOKUP($C$3&amp;"-"&amp;$D35,Import!$C:$H,5,FALSE)=0,"",VLOOKUP($C$3&amp;"-"&amp;$D35,Import!$C:$H,5,FALSE))</f>
        <v/>
      </c>
      <c r="S35" s="924" t="str">
        <f>IF(VLOOKUP($C$3&amp;"-"&amp;$D35,Import!$C:$H,6,FALSE)=0,"",VLOOKUP($C$3&amp;"-"&amp;$D35,Import!$C:$H,6,FALSE))</f>
        <v/>
      </c>
      <c r="T35" s="154"/>
      <c r="U35" s="252"/>
    </row>
    <row r="36" spans="1:21" s="296" customFormat="1" ht="45" customHeight="1" x14ac:dyDescent="0.2">
      <c r="A36" s="305"/>
      <c r="B36" s="1199"/>
      <c r="C36" s="1207">
        <v>2</v>
      </c>
      <c r="D36" s="395" t="s">
        <v>19</v>
      </c>
      <c r="E36" s="467" t="str">
        <f>IF(VLOOKUP(CONCATENATE($C$3,"-",$D36),Languages!$A:$D,1,TRUE)=CONCATENATE($C$3,"-",$D36),VLOOKUP(CONCATENATE($C$3,"-",$D36),Languages!$A:$D,Summary!$C$7,TRUE),NA())</f>
        <v>Valvonnalle ja havaintojen analysoinnille on määritetty tarkempia vaatimuksia, joita päivitetään säännöllisesti ja jotka kattavat tapahtumatietojen oikea-aikaisen tarkastelun.</v>
      </c>
      <c r="F36" s="386">
        <f t="shared" si="1"/>
        <v>0</v>
      </c>
      <c r="G36" s="445" t="s">
        <v>2542</v>
      </c>
      <c r="H36" s="442"/>
      <c r="I36" s="442"/>
      <c r="J36" s="442"/>
      <c r="K36" s="451"/>
      <c r="L36" s="154"/>
      <c r="M36" s="252"/>
      <c r="N36" s="149"/>
      <c r="O36" s="889" t="str">
        <f>VLOOKUP(VLOOKUP($C$3&amp;"-"&amp;$D36,Import!$C:$D,2,FALSE),Parameters!$C$18:$F$22,Summary!$C$7,FALSE)</f>
        <v xml:space="preserve">0 - Vastaus puuttuu </v>
      </c>
      <c r="P36" s="921" t="str">
        <f>IF(VLOOKUP($C$3&amp;"-"&amp;$D36,Import!$C:$H,3,FALSE)=0,"",VLOOKUP($C$3&amp;"-"&amp;$D36,Import!$C:$H,3,FALSE))</f>
        <v/>
      </c>
      <c r="Q36" s="921" t="str">
        <f>IF(VLOOKUP($C$3&amp;"-"&amp;$D36,Import!$C:$H,4,FALSE)=0,"",VLOOKUP($C$3&amp;"-"&amp;$D36,Import!$C:$H,4,FALSE))</f>
        <v/>
      </c>
      <c r="R36" s="921" t="str">
        <f>IF(VLOOKUP($C$3&amp;"-"&amp;$D36,Import!$C:$H,5,FALSE)=0,"",VLOOKUP($C$3&amp;"-"&amp;$D36,Import!$C:$H,5,FALSE))</f>
        <v/>
      </c>
      <c r="S36" s="922" t="str">
        <f>IF(VLOOKUP($C$3&amp;"-"&amp;$D36,Import!$C:$H,6,FALSE)=0,"",VLOOKUP($C$3&amp;"-"&amp;$D36,Import!$C:$H,6,FALSE))</f>
        <v/>
      </c>
      <c r="T36" s="154"/>
      <c r="U36" s="252"/>
    </row>
    <row r="37" spans="1:21" s="296" customFormat="1" ht="75" customHeight="1" x14ac:dyDescent="0.2">
      <c r="A37" s="305"/>
      <c r="B37" s="1199"/>
      <c r="C37" s="1212"/>
      <c r="D37" s="294" t="s">
        <v>20</v>
      </c>
      <c r="E37" s="468" t="str">
        <f>IF(VLOOKUP(CONCATENATE($C$3,"-",$D37),Languages!$A:$D,1,TRUE)=CONCATENATE($C$3,"-",$D37),VLOOKUP(CONCATENATE($C$3,"-",$D37),Languages!$A:$D,Summary!$C$7,TRUE),NA())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7" s="287">
        <f t="shared" si="1"/>
        <v>0</v>
      </c>
      <c r="G37" s="307" t="s">
        <v>2542</v>
      </c>
      <c r="H37" s="443"/>
      <c r="I37" s="443"/>
      <c r="J37" s="443"/>
      <c r="K37" s="452"/>
      <c r="L37" s="154"/>
      <c r="M37" s="252"/>
      <c r="N37" s="149"/>
      <c r="O37" s="892" t="str">
        <f>VLOOKUP(VLOOKUP($C$3&amp;"-"&amp;$D37,Import!$C:$D,2,FALSE),Parameters!$C$18:$F$22,Summary!$C$7,FALSE)</f>
        <v xml:space="preserve">0 - Vastaus puuttuu </v>
      </c>
      <c r="P37" s="916" t="str">
        <f>IF(VLOOKUP($C$3&amp;"-"&amp;$D37,Import!$C:$H,3,FALSE)=0,"",VLOOKUP($C$3&amp;"-"&amp;$D37,Import!$C:$H,3,FALSE))</f>
        <v/>
      </c>
      <c r="Q37" s="916" t="str">
        <f>IF(VLOOKUP($C$3&amp;"-"&amp;$D37,Import!$C:$H,4,FALSE)=0,"",VLOOKUP($C$3&amp;"-"&amp;$D37,Import!$C:$H,4,FALSE))</f>
        <v/>
      </c>
      <c r="R37" s="916" t="str">
        <f>IF(VLOOKUP($C$3&amp;"-"&amp;$D37,Import!$C:$H,5,FALSE)=0,"",VLOOKUP($C$3&amp;"-"&amp;$D37,Import!$C:$H,5,FALSE))</f>
        <v/>
      </c>
      <c r="S37" s="917" t="str">
        <f>IF(VLOOKUP($C$3&amp;"-"&amp;$D37,Import!$C:$H,6,FALSE)=0,"",VLOOKUP($C$3&amp;"-"&amp;$D37,Import!$C:$H,6,FALSE))</f>
        <v/>
      </c>
      <c r="T37" s="154"/>
      <c r="U37" s="252"/>
    </row>
    <row r="38" spans="1:21" s="296" customFormat="1" ht="34.950000000000003" customHeight="1" x14ac:dyDescent="0.2">
      <c r="A38" s="305"/>
      <c r="B38" s="1199"/>
      <c r="C38" s="1212"/>
      <c r="D38" s="294" t="s">
        <v>21</v>
      </c>
      <c r="E38" s="468" t="str">
        <f>IF(VLOOKUP(CONCATENATE($C$3,"-",$D38),Languages!$A:$D,1,TRUE)=CONCATENATE($C$3,"-",$D38),VLOOKUP(CONCATENATE($C$3,"-",$D38),Languages!$A:$D,Summary!$C$7,TRUE),NA())</f>
        <v>Kybertapahtumien tunnistamista varten on määritetty erilaisia hälytyksiä ja ilmoituksia, joita päivitetään säännöllisesti.</v>
      </c>
      <c r="F38" s="287">
        <f t="shared" si="1"/>
        <v>0</v>
      </c>
      <c r="G38" s="307" t="s">
        <v>2542</v>
      </c>
      <c r="H38" s="443"/>
      <c r="I38" s="443"/>
      <c r="J38" s="443"/>
      <c r="K38" s="452"/>
      <c r="L38" s="154"/>
      <c r="M38" s="252"/>
      <c r="N38" s="149"/>
      <c r="O38" s="892" t="str">
        <f>VLOOKUP(VLOOKUP($C$3&amp;"-"&amp;$D38,Import!$C:$D,2,FALSE),Parameters!$C$18:$F$22,Summary!$C$7,FALSE)</f>
        <v xml:space="preserve">0 - Vastaus puuttuu </v>
      </c>
      <c r="P38" s="916" t="str">
        <f>IF(VLOOKUP($C$3&amp;"-"&amp;$D38,Import!$C:$H,3,FALSE)=0,"",VLOOKUP($C$3&amp;"-"&amp;$D38,Import!$C:$H,3,FALSE))</f>
        <v/>
      </c>
      <c r="Q38" s="916" t="str">
        <f>IF(VLOOKUP($C$3&amp;"-"&amp;$D38,Import!$C:$H,4,FALSE)=0,"",VLOOKUP($C$3&amp;"-"&amp;$D38,Import!$C:$H,4,FALSE))</f>
        <v/>
      </c>
      <c r="R38" s="916" t="str">
        <f>IF(VLOOKUP($C$3&amp;"-"&amp;$D38,Import!$C:$H,5,FALSE)=0,"",VLOOKUP($C$3&amp;"-"&amp;$D38,Import!$C:$H,5,FALSE))</f>
        <v/>
      </c>
      <c r="S38" s="917" t="str">
        <f>IF(VLOOKUP($C$3&amp;"-"&amp;$D38,Import!$C:$H,6,FALSE)=0,"",VLOOKUP($C$3&amp;"-"&amp;$D38,Import!$C:$H,6,FALSE))</f>
        <v/>
      </c>
      <c r="T38" s="154"/>
      <c r="U38" s="252"/>
    </row>
    <row r="39" spans="1:21" s="296" customFormat="1" ht="34.950000000000003" customHeight="1" x14ac:dyDescent="0.2">
      <c r="A39" s="305"/>
      <c r="B39" s="1199"/>
      <c r="C39" s="1208"/>
      <c r="D39" s="396" t="s">
        <v>103</v>
      </c>
      <c r="E39" s="474" t="str">
        <f>IF(VLOOKUP(CONCATENATE($C$3,"-",$D39),Languages!$A:$D,1,TRUE)=CONCATENATE($C$3,"-",$D39),VLOOKUP(CONCATENATE($C$3,"-",$D39),Languages!$A:$D,Summary!$C$7,TRUE),NA())</f>
        <v>Valvontatoimenpiteet ovat linjassa toiminnon uhkaprofiilin kanssa [kts. THREAT-2e].</v>
      </c>
      <c r="F39" s="393">
        <f t="shared" si="1"/>
        <v>0</v>
      </c>
      <c r="G39" s="449" t="s">
        <v>2542</v>
      </c>
      <c r="H39" s="444"/>
      <c r="I39" s="444"/>
      <c r="J39" s="444"/>
      <c r="K39" s="453"/>
      <c r="L39" s="154"/>
      <c r="M39" s="252"/>
      <c r="N39" s="149"/>
      <c r="O39" s="897" t="str">
        <f>VLOOKUP(VLOOKUP($C$3&amp;"-"&amp;$D39,Import!$C:$D,2,FALSE),Parameters!$C$18:$F$22,Summary!$C$7,FALSE)</f>
        <v xml:space="preserve">0 - Vastaus puuttuu </v>
      </c>
      <c r="P39" s="923" t="str">
        <f>IF(VLOOKUP($C$3&amp;"-"&amp;$D39,Import!$C:$H,3,FALSE)=0,"",VLOOKUP($C$3&amp;"-"&amp;$D39,Import!$C:$H,3,FALSE))</f>
        <v/>
      </c>
      <c r="Q39" s="923" t="str">
        <f>IF(VLOOKUP($C$3&amp;"-"&amp;$D39,Import!$C:$H,4,FALSE)=0,"",VLOOKUP($C$3&amp;"-"&amp;$D39,Import!$C:$H,4,FALSE))</f>
        <v/>
      </c>
      <c r="R39" s="923" t="str">
        <f>IF(VLOOKUP($C$3&amp;"-"&amp;$D39,Import!$C:$H,5,FALSE)=0,"",VLOOKUP($C$3&amp;"-"&amp;$D39,Import!$C:$H,5,FALSE))</f>
        <v/>
      </c>
      <c r="S39" s="924" t="str">
        <f>IF(VLOOKUP($C$3&amp;"-"&amp;$D39,Import!$C:$H,6,FALSE)=0,"",VLOOKUP($C$3&amp;"-"&amp;$D39,Import!$C:$H,6,FALSE))</f>
        <v/>
      </c>
      <c r="T39" s="154"/>
      <c r="U39" s="252"/>
    </row>
    <row r="40" spans="1:21" s="296" customFormat="1" ht="34.950000000000003" customHeight="1" x14ac:dyDescent="0.2">
      <c r="A40" s="305"/>
      <c r="B40" s="1199"/>
      <c r="C40" s="1209">
        <v>3</v>
      </c>
      <c r="D40" s="395" t="s">
        <v>165</v>
      </c>
      <c r="E40" s="467" t="str">
        <f>IF(VLOOKUP(CONCATENATE($C$3,"-",$D40),Languages!$A:$D,1,TRUE)=CONCATENATE($C$3,"-",$D40),VLOOKUP(CONCATENATE($C$3,"-",$D40),Languages!$A:$D,Summary!$C$7,TRUE),NA())</f>
        <v xml:space="preserve">Korkean prioriteetin laitteita, ohjelmistoija ja tietovarantoja valvotaan tarkemmin. </v>
      </c>
      <c r="F40" s="386">
        <f t="shared" si="1"/>
        <v>0</v>
      </c>
      <c r="G40" s="445" t="s">
        <v>2542</v>
      </c>
      <c r="H40" s="442"/>
      <c r="I40" s="442"/>
      <c r="J40" s="442"/>
      <c r="K40" s="451"/>
      <c r="L40" s="154"/>
      <c r="M40" s="252"/>
      <c r="N40" s="149"/>
      <c r="O40" s="889" t="str">
        <f>VLOOKUP(VLOOKUP($C$3&amp;"-"&amp;$D40,Import!$C:$D,2,FALSE),Parameters!$C$18:$F$22,Summary!$C$7,FALSE)</f>
        <v xml:space="preserve">0 - Vastaus puuttuu </v>
      </c>
      <c r="P40" s="921" t="str">
        <f>IF(VLOOKUP($C$3&amp;"-"&amp;$D40,Import!$C:$H,3,FALSE)=0,"",VLOOKUP($C$3&amp;"-"&amp;$D40,Import!$C:$H,3,FALSE))</f>
        <v/>
      </c>
      <c r="Q40" s="921" t="str">
        <f>IF(VLOOKUP($C$3&amp;"-"&amp;$D40,Import!$C:$H,4,FALSE)=0,"",VLOOKUP($C$3&amp;"-"&amp;$D40,Import!$C:$H,4,FALSE))</f>
        <v/>
      </c>
      <c r="R40" s="921" t="str">
        <f>IF(VLOOKUP($C$3&amp;"-"&amp;$D40,Import!$C:$H,5,FALSE)=0,"",VLOOKUP($C$3&amp;"-"&amp;$D40,Import!$C:$H,5,FALSE))</f>
        <v/>
      </c>
      <c r="S40" s="922" t="str">
        <f>IF(VLOOKUP($C$3&amp;"-"&amp;$D40,Import!$C:$H,6,FALSE)=0,"",VLOOKUP($C$3&amp;"-"&amp;$D40,Import!$C:$H,6,FALSE))</f>
        <v/>
      </c>
      <c r="T40" s="154"/>
      <c r="U40" s="252"/>
    </row>
    <row r="41" spans="1:21" s="296" customFormat="1" ht="34.950000000000003" customHeight="1" x14ac:dyDescent="0.2">
      <c r="A41" s="305"/>
      <c r="B41" s="1199"/>
      <c r="C41" s="1210"/>
      <c r="D41" s="294" t="s">
        <v>167</v>
      </c>
      <c r="E41" s="468" t="str">
        <f>IF(VLOOKUP(CONCATENATE($C$3,"-",$D41),Languages!$A:$D,1,TRUE)=CONCATENATE($C$3,"-",$D41),VLOOKUP(CONCATENATE($C$3,"-",$D41),Languages!$A:$D,Summary!$C$7,TRUE),NA())</f>
        <v>Riskianalyyseistä saatua tietoa [kts. RISK-3d] hyödynnetään, kun määritetään poikkeavan toiminnan indikaattoreita.</v>
      </c>
      <c r="F41" s="287">
        <f t="shared" si="1"/>
        <v>0</v>
      </c>
      <c r="G41" s="307" t="s">
        <v>2542</v>
      </c>
      <c r="H41" s="443"/>
      <c r="I41" s="443"/>
      <c r="J41" s="443"/>
      <c r="K41" s="452"/>
      <c r="L41" s="154"/>
      <c r="M41" s="252"/>
      <c r="N41" s="149"/>
      <c r="O41" s="892" t="str">
        <f>VLOOKUP(VLOOKUP($C$3&amp;"-"&amp;$D41,Import!$C:$D,2,FALSE),Parameters!$C$18:$F$22,Summary!$C$7,FALSE)</f>
        <v xml:space="preserve">0 - Vastaus puuttuu </v>
      </c>
      <c r="P41" s="916" t="str">
        <f>IF(VLOOKUP($C$3&amp;"-"&amp;$D41,Import!$C:$H,3,FALSE)=0,"",VLOOKUP($C$3&amp;"-"&amp;$D41,Import!$C:$H,3,FALSE))</f>
        <v/>
      </c>
      <c r="Q41" s="916" t="str">
        <f>IF(VLOOKUP($C$3&amp;"-"&amp;$D41,Import!$C:$H,4,FALSE)=0,"",VLOOKUP($C$3&amp;"-"&amp;$D41,Import!$C:$H,4,FALSE))</f>
        <v/>
      </c>
      <c r="R41" s="916" t="str">
        <f>IF(VLOOKUP($C$3&amp;"-"&amp;$D41,Import!$C:$H,5,FALSE)=0,"",VLOOKUP($C$3&amp;"-"&amp;$D41,Import!$C:$H,5,FALSE))</f>
        <v/>
      </c>
      <c r="S41" s="917" t="str">
        <f>IF(VLOOKUP($C$3&amp;"-"&amp;$D41,Import!$C:$H,6,FALSE)=0,"",VLOOKUP($C$3&amp;"-"&amp;$D41,Import!$C:$H,6,FALSE))</f>
        <v/>
      </c>
      <c r="T41" s="154"/>
      <c r="U41" s="252"/>
    </row>
    <row r="42" spans="1:21" s="296" customFormat="1" ht="34.950000000000003" customHeight="1" x14ac:dyDescent="0.2">
      <c r="A42" s="305"/>
      <c r="B42" s="1199"/>
      <c r="C42" s="1211"/>
      <c r="D42" s="396" t="s">
        <v>198</v>
      </c>
      <c r="E42" s="474" t="str">
        <f>IF(VLOOKUP(CONCATENATE($C$3,"-",$D42),Languages!$A:$D,1,TRUE)=CONCATENATE($C$3,"-",$D42),VLOOKUP(CONCATENATE($C$3,"-",$D42),Languages!$A:$D,Summary!$C$7,TRUE),NA())</f>
        <v xml:space="preserve">Poikkeavan toiminnan havaitsemiseksi on luotuja indikaattoreita arvioidaan ja päivitetään säännöllisesti ja määriteltyjen tilanteiden kuten järjestelmämuutosten tai ulkoisten tapahtumien yhteydessä. </v>
      </c>
      <c r="F42" s="393">
        <f t="shared" si="1"/>
        <v>0</v>
      </c>
      <c r="G42" s="449" t="s">
        <v>2542</v>
      </c>
      <c r="H42" s="444"/>
      <c r="I42" s="444"/>
      <c r="J42" s="444"/>
      <c r="K42" s="453"/>
      <c r="L42" s="154"/>
      <c r="M42" s="252"/>
      <c r="N42" s="149"/>
      <c r="O42" s="897" t="str">
        <f>VLOOKUP(VLOOKUP($C$3&amp;"-"&amp;$D42,Import!$C:$D,2,FALSE),Parameters!$C$18:$F$22,Summary!$C$7,FALSE)</f>
        <v xml:space="preserve">0 - Vastaus puuttuu </v>
      </c>
      <c r="P42" s="923" t="str">
        <f>IF(VLOOKUP($C$3&amp;"-"&amp;$D42,Import!$C:$H,3,FALSE)=0,"",VLOOKUP($C$3&amp;"-"&amp;$D42,Import!$C:$H,3,FALSE))</f>
        <v/>
      </c>
      <c r="Q42" s="923" t="str">
        <f>IF(VLOOKUP($C$3&amp;"-"&amp;$D42,Import!$C:$H,4,FALSE)=0,"",VLOOKUP($C$3&amp;"-"&amp;$D42,Import!$C:$H,4,FALSE))</f>
        <v/>
      </c>
      <c r="R42" s="923" t="str">
        <f>IF(VLOOKUP($C$3&amp;"-"&amp;$D42,Import!$C:$H,5,FALSE)=0,"",VLOOKUP($C$3&amp;"-"&amp;$D42,Import!$C:$H,5,FALSE))</f>
        <v/>
      </c>
      <c r="S42" s="924" t="str">
        <f>IF(VLOOKUP($C$3&amp;"-"&amp;$D42,Import!$C:$H,6,FALSE)=0,"",VLOOKUP($C$3&amp;"-"&amp;$D42,Import!$C:$H,6,FALSE))</f>
        <v/>
      </c>
      <c r="T42" s="154"/>
      <c r="U42" s="252"/>
    </row>
    <row r="43" spans="1:21" s="177" customFormat="1" ht="30" customHeight="1" x14ac:dyDescent="0.25">
      <c r="A43" s="166"/>
      <c r="B43" s="269"/>
      <c r="C43" s="170">
        <v>3</v>
      </c>
      <c r="D43" s="170" t="str">
        <f>IF(VLOOKUP(CONCATENATE($C$3,"-",C43),Languages!$A:$D,1,TRUE)=CONCATENATE($C$3,"-",C43),VLOOKUP(CONCATENATE($C$3,"-",C43),Languages!$A:$D,Summary!$C$7,TRUE),NA())</f>
        <v>Tilannekuvan ylläpito</v>
      </c>
      <c r="E43" s="170"/>
      <c r="F43" s="292"/>
      <c r="G43" s="907"/>
      <c r="H43" s="929"/>
      <c r="I43" s="929"/>
      <c r="J43" s="929"/>
      <c r="K43" s="929"/>
      <c r="L43" s="154"/>
      <c r="M43" s="252"/>
      <c r="N43" s="149"/>
      <c r="O43" s="292"/>
      <c r="P43" s="293"/>
      <c r="Q43" s="293"/>
      <c r="R43" s="293"/>
      <c r="S43" s="293"/>
      <c r="T43" s="154"/>
      <c r="U43" s="252"/>
    </row>
    <row r="44" spans="1:21" s="285" customFormat="1" ht="19.95" customHeight="1" x14ac:dyDescent="0.2">
      <c r="A44" s="304"/>
      <c r="B44" s="279"/>
      <c r="C44" s="280" t="str">
        <f>IF(VLOOKUP("GEN-LEVEL",Languages!$A:$D,1,TRUE)="GEN-LEVEL",VLOOKUP("GEN-LEVEL",Languages!$A:$D,Summary!$C$7,TRUE),NA())</f>
        <v>Taso</v>
      </c>
      <c r="D44" s="280"/>
      <c r="E44" s="281" t="str">
        <f>IF(VLOOKUP("GEN-PRACTICE",Languages!$A:$D,1,TRUE)="GEN-PRACTICE",VLOOKUP("GEN-PRACTICE",Languages!$A:$D,Summary!$C$7,TRUE),NA())</f>
        <v>Käytäntö</v>
      </c>
      <c r="F44" s="282"/>
      <c r="G44" s="904" t="str">
        <f>IF(VLOOKUP("GEN-ANSWER",Languages!$A:$D,1,TRUE)="GEN-ANSWER",VLOOKUP("GEN-ANSWER",Languages!$A:$D,Summary!$C$7,TRUE),NA())</f>
        <v>Vastaus</v>
      </c>
      <c r="H44" s="905" t="str">
        <f>IF(VLOOKUP("KM112",Languages!$A:$D,1,TRUE)="KM112",VLOOKUP("KM112",Languages!$A:$D,Summary!$C$7,TRUE),NA())</f>
        <v>Kommentit</v>
      </c>
      <c r="I44" s="905" t="str">
        <f>IF(VLOOKUP("KM113",Languages!$A:$D,1,TRUE)="KM113",VLOOKUP("KM113",Languages!$A:$D,Summary!$C$7,TRUE),NA())</f>
        <v>Sisäinen viittaus</v>
      </c>
      <c r="J44" s="905" t="str">
        <f>IF(VLOOKUP("KM114",Languages!$A:$D,1,TRUE)="KM114",VLOOKUP("KM114",Languages!$A:$D,Summary!$C$7,TRUE),NA())</f>
        <v>Ulkoinen viittaus</v>
      </c>
      <c r="K44" s="905" t="str">
        <f>IF(VLOOKUP("KM115",Languages!$A:$D,1,TRUE)="KM115",VLOOKUP("KM115",Languages!$A:$D,Summary!$C$7,TRUE),NA())</f>
        <v>Kehityskohde</v>
      </c>
      <c r="L44" s="283"/>
      <c r="M44" s="284"/>
      <c r="N44" s="279"/>
      <c r="O44" s="463" t="str">
        <f>IF(VLOOKUP("GEN-ANSWER",Languages!$A:$D,1,TRUE)="GEN-ANSWER",VLOOKUP("GEN-ANSWER",Languages!$A:$D,Summary!$C$7,TRUE),NA())</f>
        <v>Vastaus</v>
      </c>
      <c r="P44" s="463" t="str">
        <f>IF(VLOOKUP("KM112",Languages!$A:$D,1,TRUE)="KM112",VLOOKUP("KM112",Languages!$A:$D,Summary!$C$7,TRUE),NA())</f>
        <v>Kommentit</v>
      </c>
      <c r="Q44" s="463" t="str">
        <f>IF(VLOOKUP("KM113",Languages!$A:$D,1,TRUE)="KM113",VLOOKUP("KM113",Languages!$A:$D,Summary!$C$7,TRUE),NA())</f>
        <v>Sisäinen viittaus</v>
      </c>
      <c r="R44" s="463" t="str">
        <f>IF(VLOOKUP("KM114",Languages!$A:$D,1,TRUE)="KM114",VLOOKUP("KM114",Languages!$A:$D,Summary!$C$7,TRUE),NA())</f>
        <v>Ulkoinen viittaus</v>
      </c>
      <c r="S44" s="463" t="str">
        <f>IF(VLOOKUP("KM115",Languages!$A:$D,1,TRUE)="KM115",VLOOKUP("KM115",Languages!$A:$D,Summary!$C$7,TRUE),NA())</f>
        <v>Kehityskohde</v>
      </c>
      <c r="T44" s="283"/>
      <c r="U44" s="284"/>
    </row>
    <row r="45" spans="1:21" s="311" customFormat="1" ht="19.95" customHeight="1" x14ac:dyDescent="0.2">
      <c r="A45" s="284"/>
      <c r="B45" s="279"/>
      <c r="C45" s="413">
        <v>1</v>
      </c>
      <c r="D45" s="401"/>
      <c r="E45" s="402"/>
      <c r="F45" s="404"/>
      <c r="G45" s="908"/>
      <c r="H45" s="909"/>
      <c r="I45" s="909"/>
      <c r="J45" s="909"/>
      <c r="K45" s="910"/>
      <c r="L45" s="154"/>
      <c r="M45" s="252"/>
      <c r="N45" s="149"/>
      <c r="O45" s="517"/>
      <c r="P45" s="403"/>
      <c r="Q45" s="403"/>
      <c r="R45" s="403"/>
      <c r="S45" s="405"/>
      <c r="T45" s="154"/>
      <c r="U45" s="252"/>
    </row>
    <row r="46" spans="1:21" s="296" customFormat="1" ht="34.950000000000003" customHeight="1" x14ac:dyDescent="0.2">
      <c r="A46" s="305"/>
      <c r="B46" s="297"/>
      <c r="C46" s="1207">
        <v>2</v>
      </c>
      <c r="D46" s="395" t="s">
        <v>22</v>
      </c>
      <c r="E46" s="467" t="str">
        <f>IF(VLOOKUP(CONCATENATE($C$3,"-",$D46),Languages!$A:$D,1,TRUE)=CONCATENATE($C$3,"-",$D46),VLOOKUP(CONCATENATE($C$3,"-",$D46),Languages!$A:$D,Summary!$C$7,TRUE),NA())</f>
        <v>Toiminnon kyberturvallisuuden tilannekuvan viestimiseksi on määritetty menetelmät, joita päivitetään säännöllisesti.</v>
      </c>
      <c r="F46" s="386">
        <f t="shared" ref="F46:F52" si="2">IFERROR(INT(LEFT($G46,1)),0)</f>
        <v>0</v>
      </c>
      <c r="G46" s="445" t="s">
        <v>2542</v>
      </c>
      <c r="H46" s="442"/>
      <c r="I46" s="442"/>
      <c r="J46" s="442"/>
      <c r="K46" s="451"/>
      <c r="L46" s="154"/>
      <c r="M46" s="252"/>
      <c r="N46" s="149"/>
      <c r="O46" s="889" t="str">
        <f>VLOOKUP(VLOOKUP($C$3&amp;"-"&amp;$D46,Import!$C:$D,2,FALSE),Parameters!$C$18:$F$22,Summary!$C$7,FALSE)</f>
        <v xml:space="preserve">0 - Vastaus puuttuu </v>
      </c>
      <c r="P46" s="921" t="str">
        <f>IF(VLOOKUP($C$3&amp;"-"&amp;$D46,Import!$C:$H,3,FALSE)=0,"",VLOOKUP($C$3&amp;"-"&amp;$D46,Import!$C:$H,3,FALSE))</f>
        <v/>
      </c>
      <c r="Q46" s="921" t="str">
        <f>IF(VLOOKUP($C$3&amp;"-"&amp;$D46,Import!$C:$H,4,FALSE)=0,"",VLOOKUP($C$3&amp;"-"&amp;$D46,Import!$C:$H,4,FALSE))</f>
        <v/>
      </c>
      <c r="R46" s="921" t="str">
        <f>IF(VLOOKUP($C$3&amp;"-"&amp;$D46,Import!$C:$H,5,FALSE)=0,"",VLOOKUP($C$3&amp;"-"&amp;$D46,Import!$C:$H,5,FALSE))</f>
        <v/>
      </c>
      <c r="S46" s="922" t="str">
        <f>IF(VLOOKUP($C$3&amp;"-"&amp;$D46,Import!$C:$H,6,FALSE)=0,"",VLOOKUP($C$3&amp;"-"&amp;$D46,Import!$C:$H,6,FALSE))</f>
        <v/>
      </c>
      <c r="T46" s="154"/>
      <c r="U46" s="252"/>
    </row>
    <row r="47" spans="1:21" s="296" customFormat="1" ht="34.950000000000003" customHeight="1" x14ac:dyDescent="0.2">
      <c r="A47" s="305"/>
      <c r="B47" s="297"/>
      <c r="C47" s="1212"/>
      <c r="D47" s="294" t="s">
        <v>23</v>
      </c>
      <c r="E47" s="468" t="str">
        <f>IF(VLOOKUP(CONCATENATE($C$3,"-",$D47),Languages!$A:$D,1,TRUE)=CONCATENATE($C$3,"-",$D47),VLOOKUP(CONCATENATE($C$3,"-",$D47),Languages!$A:$D,Summary!$C$7,TRUE),NA())</f>
        <v>Valvontatieto kootaan yhteen toiminnon operatiivisen tilannekuvan muodostamiseksi.</v>
      </c>
      <c r="F47" s="287">
        <f t="shared" si="2"/>
        <v>0</v>
      </c>
      <c r="G47" s="307" t="s">
        <v>2542</v>
      </c>
      <c r="H47" s="443"/>
      <c r="I47" s="443"/>
      <c r="J47" s="443"/>
      <c r="K47" s="452"/>
      <c r="L47" s="154"/>
      <c r="M47" s="252"/>
      <c r="N47" s="149"/>
      <c r="O47" s="892" t="str">
        <f>VLOOKUP(VLOOKUP($C$3&amp;"-"&amp;$D47,Import!$C:$D,2,FALSE),Parameters!$C$18:$F$22,Summary!$C$7,FALSE)</f>
        <v xml:space="preserve">0 - Vastaus puuttuu </v>
      </c>
      <c r="P47" s="916" t="str">
        <f>IF(VLOOKUP($C$3&amp;"-"&amp;$D47,Import!$C:$H,3,FALSE)=0,"",VLOOKUP($C$3&amp;"-"&amp;$D47,Import!$C:$H,3,FALSE))</f>
        <v/>
      </c>
      <c r="Q47" s="916" t="str">
        <f>IF(VLOOKUP($C$3&amp;"-"&amp;$D47,Import!$C:$H,4,FALSE)=0,"",VLOOKUP($C$3&amp;"-"&amp;$D47,Import!$C:$H,4,FALSE))</f>
        <v/>
      </c>
      <c r="R47" s="916" t="str">
        <f>IF(VLOOKUP($C$3&amp;"-"&amp;$D47,Import!$C:$H,5,FALSE)=0,"",VLOOKUP($C$3&amp;"-"&amp;$D47,Import!$C:$H,5,FALSE))</f>
        <v/>
      </c>
      <c r="S47" s="917" t="str">
        <f>IF(VLOOKUP($C$3&amp;"-"&amp;$D47,Import!$C:$H,6,FALSE)=0,"",VLOOKUP($C$3&amp;"-"&amp;$D47,Import!$C:$H,6,FALSE))</f>
        <v/>
      </c>
      <c r="T47" s="154"/>
      <c r="U47" s="252"/>
    </row>
    <row r="48" spans="1:21" s="296" customFormat="1" ht="34.950000000000003" customHeight="1" x14ac:dyDescent="0.2">
      <c r="A48" s="305"/>
      <c r="B48" s="297"/>
      <c r="C48" s="1208"/>
      <c r="D48" s="396" t="s">
        <v>24</v>
      </c>
      <c r="E48" s="474" t="str">
        <f>IF(VLOOKUP(CONCATENATE($C$3,"-",$D48),Languages!$A:$D,1,TRUE)=CONCATENATE($C$3,"-",$D48),VLOOKUP(CONCATENATE($C$3,"-",$D48),Languages!$A:$D,Summary!$C$7,TRUE),NA())</f>
        <v>Tilannekuvan rikastamiseksi on saatavilla soveltuvaa tietoa eri puolilta organisaatiota.</v>
      </c>
      <c r="F48" s="393">
        <f t="shared" si="2"/>
        <v>0</v>
      </c>
      <c r="G48" s="449" t="s">
        <v>2542</v>
      </c>
      <c r="H48" s="444"/>
      <c r="I48" s="444"/>
      <c r="J48" s="444"/>
      <c r="K48" s="453"/>
      <c r="L48" s="154"/>
      <c r="M48" s="252"/>
      <c r="N48" s="149"/>
      <c r="O48" s="897" t="str">
        <f>VLOOKUP(VLOOKUP($C$3&amp;"-"&amp;$D48,Import!$C:$D,2,FALSE),Parameters!$C$18:$F$22,Summary!$C$7,FALSE)</f>
        <v xml:space="preserve">0 - Vastaus puuttuu </v>
      </c>
      <c r="P48" s="923" t="str">
        <f>IF(VLOOKUP($C$3&amp;"-"&amp;$D48,Import!$C:$H,3,FALSE)=0,"",VLOOKUP($C$3&amp;"-"&amp;$D48,Import!$C:$H,3,FALSE))</f>
        <v/>
      </c>
      <c r="Q48" s="923" t="str">
        <f>IF(VLOOKUP($C$3&amp;"-"&amp;$D48,Import!$C:$H,4,FALSE)=0,"",VLOOKUP($C$3&amp;"-"&amp;$D48,Import!$C:$H,4,FALSE))</f>
        <v/>
      </c>
      <c r="R48" s="923" t="str">
        <f>IF(VLOOKUP($C$3&amp;"-"&amp;$D48,Import!$C:$H,5,FALSE)=0,"",VLOOKUP($C$3&amp;"-"&amp;$D48,Import!$C:$H,5,FALSE))</f>
        <v/>
      </c>
      <c r="S48" s="924" t="str">
        <f>IF(VLOOKUP($C$3&amp;"-"&amp;$D48,Import!$C:$H,6,FALSE)=0,"",VLOOKUP($C$3&amp;"-"&amp;$D48,Import!$C:$H,6,FALSE))</f>
        <v/>
      </c>
      <c r="T48" s="154"/>
      <c r="U48" s="252"/>
    </row>
    <row r="49" spans="1:21" s="296" customFormat="1" ht="45" customHeight="1" x14ac:dyDescent="0.2">
      <c r="A49" s="305"/>
      <c r="B49" s="297"/>
      <c r="C49" s="1209">
        <v>3</v>
      </c>
      <c r="D49" s="395" t="s">
        <v>25</v>
      </c>
      <c r="E49" s="467" t="str">
        <f>IF(VLOOKUP(CONCATENATE($C$3,"-",$D49),Languages!$A:$D,1,TRUE)=CONCATENATE($C$3,"-",$D49),VLOOKUP(CONCATENATE($C$3,"-",$D49),Languages!$A:$D,Summary!$C$7,TRUE),NA())</f>
        <v>Tilannekuvan raportoinnista on määritetty vaatimuksia, joihin kuuluu oikea-aikaisen kyberturvallisuustiedon jakaminen organisaation määrittelemille sidosryhmille.</v>
      </c>
      <c r="F49" s="386">
        <f t="shared" si="2"/>
        <v>0</v>
      </c>
      <c r="G49" s="445" t="s">
        <v>2542</v>
      </c>
      <c r="H49" s="442"/>
      <c r="I49" s="442"/>
      <c r="J49" s="442"/>
      <c r="K49" s="451"/>
      <c r="L49" s="154"/>
      <c r="M49" s="252"/>
      <c r="N49" s="149"/>
      <c r="O49" s="889" t="str">
        <f>VLOOKUP(VLOOKUP($C$3&amp;"-"&amp;$D49,Import!$C:$D,2,FALSE),Parameters!$C$18:$F$22,Summary!$C$7,FALSE)</f>
        <v xml:space="preserve">0 - Vastaus puuttuu </v>
      </c>
      <c r="P49" s="921" t="str">
        <f>IF(VLOOKUP($C$3&amp;"-"&amp;$D49,Import!$C:$H,3,FALSE)=0,"",VLOOKUP($C$3&amp;"-"&amp;$D49,Import!$C:$H,3,FALSE))</f>
        <v/>
      </c>
      <c r="Q49" s="921" t="str">
        <f>IF(VLOOKUP($C$3&amp;"-"&amp;$D49,Import!$C:$H,4,FALSE)=0,"",VLOOKUP($C$3&amp;"-"&amp;$D49,Import!$C:$H,4,FALSE))</f>
        <v/>
      </c>
      <c r="R49" s="921" t="str">
        <f>IF(VLOOKUP($C$3&amp;"-"&amp;$D49,Import!$C:$H,5,FALSE)=0,"",VLOOKUP($C$3&amp;"-"&amp;$D49,Import!$C:$H,5,FALSE))</f>
        <v/>
      </c>
      <c r="S49" s="922" t="str">
        <f>IF(VLOOKUP($C$3&amp;"-"&amp;$D49,Import!$C:$H,6,FALSE)=0,"",VLOOKUP($C$3&amp;"-"&amp;$D49,Import!$C:$H,6,FALSE))</f>
        <v/>
      </c>
      <c r="T49" s="154"/>
      <c r="U49" s="252"/>
    </row>
    <row r="50" spans="1:21" s="296" customFormat="1" ht="34.950000000000003" customHeight="1" x14ac:dyDescent="0.2">
      <c r="A50" s="305"/>
      <c r="B50" s="297"/>
      <c r="C50" s="1210"/>
      <c r="D50" s="294" t="s">
        <v>26</v>
      </c>
      <c r="E50" s="468" t="str">
        <f>IF(VLOOKUP(CONCATENATE($C$3,"-",$D50),Languages!$A:$D,1,TRUE)=CONCATENATE($C$3,"-",$D50),VLOOKUP(CONCATENATE($C$3,"-",$D50),Languages!$A:$D,Summary!$C$7,TRUE),NA())</f>
        <v>Tilannekuvan rikastamiseksi kerätään soveltuvaa tietoa organisaation ulkopuolelta. Lisäksi tätä tietoa jaetaan organisaation määrittelemille sisäisille sidosryhmille.</v>
      </c>
      <c r="F50" s="287">
        <f t="shared" si="2"/>
        <v>0</v>
      </c>
      <c r="G50" s="307" t="s">
        <v>2542</v>
      </c>
      <c r="H50" s="443"/>
      <c r="I50" s="443"/>
      <c r="J50" s="443"/>
      <c r="K50" s="452"/>
      <c r="L50" s="154"/>
      <c r="M50" s="252"/>
      <c r="N50" s="149"/>
      <c r="O50" s="892" t="str">
        <f>VLOOKUP(VLOOKUP($C$3&amp;"-"&amp;$D50,Import!$C:$D,2,FALSE),Parameters!$C$18:$F$22,Summary!$C$7,FALSE)</f>
        <v xml:space="preserve">0 - Vastaus puuttuu </v>
      </c>
      <c r="P50" s="916" t="str">
        <f>IF(VLOOKUP($C$3&amp;"-"&amp;$D50,Import!$C:$H,3,FALSE)=0,"",VLOOKUP($C$3&amp;"-"&amp;$D50,Import!$C:$H,3,FALSE))</f>
        <v/>
      </c>
      <c r="Q50" s="916" t="str">
        <f>IF(VLOOKUP($C$3&amp;"-"&amp;$D50,Import!$C:$H,4,FALSE)=0,"",VLOOKUP($C$3&amp;"-"&amp;$D50,Import!$C:$H,4,FALSE))</f>
        <v/>
      </c>
      <c r="R50" s="916" t="str">
        <f>IF(VLOOKUP($C$3&amp;"-"&amp;$D50,Import!$C:$H,5,FALSE)=0,"",VLOOKUP($C$3&amp;"-"&amp;$D50,Import!$C:$H,5,FALSE))</f>
        <v/>
      </c>
      <c r="S50" s="917" t="str">
        <f>IF(VLOOKUP($C$3&amp;"-"&amp;$D50,Import!$C:$H,6,FALSE)=0,"",VLOOKUP($C$3&amp;"-"&amp;$D50,Import!$C:$H,6,FALSE))</f>
        <v/>
      </c>
      <c r="T50" s="154"/>
      <c r="U50" s="252"/>
    </row>
    <row r="51" spans="1:21" s="296" customFormat="1" ht="45" customHeight="1" x14ac:dyDescent="0.2">
      <c r="A51" s="305"/>
      <c r="B51" s="297"/>
      <c r="C51" s="1210"/>
      <c r="D51" s="294" t="s">
        <v>27</v>
      </c>
      <c r="E51" s="468" t="str">
        <f>IF(VLOOKUP(CONCATENATE($C$3,"-",$D51),Languages!$A:$D,1,TRUE)=CONCATENATE($C$3,"-",$D51),VLOOKUP(CONCATENATE($C$3,"-",$D51),Languages!$A:$D,Summary!$C$7,TRUE),NA())</f>
        <v>Kyvykkyys kerätä, ryhmitellä, vertailla ja analysoida valvonnalla tuottua tietoa sekä muodostaa liki reaaliaikaista tilannekuvaa toinnon kyberturvallisuuden tilasta.  Kyvykkyyttä myös ylläpidetään.</v>
      </c>
      <c r="F51" s="287">
        <f t="shared" si="2"/>
        <v>0</v>
      </c>
      <c r="G51" s="307" t="s">
        <v>2542</v>
      </c>
      <c r="H51" s="443"/>
      <c r="I51" s="443"/>
      <c r="J51" s="443"/>
      <c r="K51" s="452"/>
      <c r="L51" s="154"/>
      <c r="M51" s="252"/>
      <c r="N51" s="149"/>
      <c r="O51" s="892" t="str">
        <f>VLOOKUP(VLOOKUP($C$3&amp;"-"&amp;$D51,Import!$C:$D,2,FALSE),Parameters!$C$18:$F$22,Summary!$C$7,FALSE)</f>
        <v xml:space="preserve">0 - Vastaus puuttuu </v>
      </c>
      <c r="P51" s="916" t="str">
        <f>IF(VLOOKUP($C$3&amp;"-"&amp;$D51,Import!$C:$H,3,FALSE)=0,"",VLOOKUP($C$3&amp;"-"&amp;$D51,Import!$C:$H,3,FALSE))</f>
        <v/>
      </c>
      <c r="Q51" s="916" t="str">
        <f>IF(VLOOKUP($C$3&amp;"-"&amp;$D51,Import!$C:$H,4,FALSE)=0,"",VLOOKUP($C$3&amp;"-"&amp;$D51,Import!$C:$H,4,FALSE))</f>
        <v/>
      </c>
      <c r="R51" s="916" t="str">
        <f>IF(VLOOKUP($C$3&amp;"-"&amp;$D51,Import!$C:$H,5,FALSE)=0,"",VLOOKUP($C$3&amp;"-"&amp;$D51,Import!$C:$H,5,FALSE))</f>
        <v/>
      </c>
      <c r="S51" s="917" t="str">
        <f>IF(VLOOKUP($C$3&amp;"-"&amp;$D51,Import!$C:$H,6,FALSE)=0,"",VLOOKUP($C$3&amp;"-"&amp;$D51,Import!$C:$H,6,FALSE))</f>
        <v/>
      </c>
      <c r="T51" s="154"/>
      <c r="U51" s="252"/>
    </row>
    <row r="52" spans="1:21" s="296" customFormat="1" ht="34.950000000000003" customHeight="1" x14ac:dyDescent="0.2">
      <c r="A52" s="305"/>
      <c r="B52" s="297"/>
      <c r="C52" s="1211"/>
      <c r="D52" s="396" t="s">
        <v>28</v>
      </c>
      <c r="E52" s="474" t="str">
        <f>IF(VLOOKUP(CONCATENATE($C$3,"-",$D52),Languages!$A:$D,1,TRUE)=CONCATENATE($C$3,"-",$D52),VLOOKUP(CONCATENATE($C$3,"-",$D52),Languages!$A:$D,Summary!$C$7,TRUE),NA())</f>
        <v>Toiminnassa noudatetaan ennalta määriteltyjä, dokumentoituja toimintatiloja, jotka otetaan käyttöön toiminnon kyberurvallisuustilanteen mukaisesti tai muiden osa-alueiden toimintojen käynnistämänä.</v>
      </c>
      <c r="F52" s="393">
        <f t="shared" si="2"/>
        <v>0</v>
      </c>
      <c r="G52" s="449" t="s">
        <v>2542</v>
      </c>
      <c r="H52" s="444"/>
      <c r="I52" s="444"/>
      <c r="J52" s="444"/>
      <c r="K52" s="453"/>
      <c r="L52" s="154"/>
      <c r="M52" s="252"/>
      <c r="N52" s="149"/>
      <c r="O52" s="897" t="str">
        <f>VLOOKUP(VLOOKUP($C$3&amp;"-"&amp;$D52,Import!$C:$D,2,FALSE),Parameters!$C$18:$F$22,Summary!$C$7,FALSE)</f>
        <v xml:space="preserve">0 - Vastaus puuttuu </v>
      </c>
      <c r="P52" s="923" t="str">
        <f>IF(VLOOKUP($C$3&amp;"-"&amp;$D52,Import!$C:$H,3,FALSE)=0,"",VLOOKUP($C$3&amp;"-"&amp;$D52,Import!$C:$H,3,FALSE))</f>
        <v/>
      </c>
      <c r="Q52" s="923" t="str">
        <f>IF(VLOOKUP($C$3&amp;"-"&amp;$D52,Import!$C:$H,4,FALSE)=0,"",VLOOKUP($C$3&amp;"-"&amp;$D52,Import!$C:$H,4,FALSE))</f>
        <v/>
      </c>
      <c r="R52" s="923" t="str">
        <f>IF(VLOOKUP($C$3&amp;"-"&amp;$D52,Import!$C:$H,5,FALSE)=0,"",VLOOKUP($C$3&amp;"-"&amp;$D52,Import!$C:$H,5,FALSE))</f>
        <v/>
      </c>
      <c r="S52" s="924" t="str">
        <f>IF(VLOOKUP($C$3&amp;"-"&amp;$D52,Import!$C:$H,6,FALSE)=0,"",VLOOKUP($C$3&amp;"-"&amp;$D52,Import!$C:$H,6,FALSE))</f>
        <v/>
      </c>
      <c r="T52" s="154"/>
      <c r="U52" s="252"/>
    </row>
    <row r="53" spans="1:21" s="177" customFormat="1" ht="30" customHeight="1" x14ac:dyDescent="0.25">
      <c r="A53" s="166"/>
      <c r="B53" s="269"/>
      <c r="C53" s="170">
        <v>4</v>
      </c>
      <c r="D53" s="170" t="str">
        <f>IF(VLOOKUP(CONCATENATE($C$3,"-",C53),Languages!$A:$D,1,TRUE)=CONCATENATE($C$3,"-",C53),VLOOKUP(CONCATENATE($C$3,"-",C53),Languages!$A:$D,Summary!$C$7,TRUE),NA())</f>
        <v>Yleisiä hallintatoimia</v>
      </c>
      <c r="E53" s="170"/>
      <c r="F53" s="292"/>
      <c r="G53" s="907"/>
      <c r="H53" s="929"/>
      <c r="I53" s="929"/>
      <c r="J53" s="929"/>
      <c r="K53" s="929"/>
      <c r="L53" s="154"/>
      <c r="M53" s="252"/>
      <c r="N53" s="149"/>
      <c r="O53" s="292"/>
      <c r="P53" s="293"/>
      <c r="Q53" s="293"/>
      <c r="R53" s="293"/>
      <c r="S53" s="293"/>
      <c r="T53" s="154"/>
      <c r="U53" s="252"/>
    </row>
    <row r="54" spans="1:21" s="285" customFormat="1" ht="19.95" customHeight="1" x14ac:dyDescent="0.2">
      <c r="A54" s="304"/>
      <c r="B54" s="279"/>
      <c r="C54" s="280" t="str">
        <f>IF(VLOOKUP("GEN-LEVEL",Languages!$A:$D,1,TRUE)="GEN-LEVEL",VLOOKUP("GEN-LEVEL",Languages!$A:$D,Summary!$C$7,TRUE),NA())</f>
        <v>Taso</v>
      </c>
      <c r="D54" s="280"/>
      <c r="E54" s="281" t="str">
        <f>IF(VLOOKUP("GEN-PRACTICE",Languages!$A:$D,1,TRUE)="GEN-PRACTICE",VLOOKUP("GEN-PRACTICE",Languages!$A:$D,Summary!$C$7,TRUE),NA())</f>
        <v>Käytäntö</v>
      </c>
      <c r="F54" s="282"/>
      <c r="G54" s="904" t="str">
        <f>IF(VLOOKUP("GEN-ANSWER",Languages!$A:$D,1,TRUE)="GEN-ANSWER",VLOOKUP("GEN-ANSWER",Languages!$A:$D,Summary!$C$7,TRUE),NA())</f>
        <v>Vastaus</v>
      </c>
      <c r="H54" s="905" t="str">
        <f>IF(VLOOKUP("KM112",Languages!$A:$D,1,TRUE)="KM112",VLOOKUP("KM112",Languages!$A:$D,Summary!$C$7,TRUE),NA())</f>
        <v>Kommentit</v>
      </c>
      <c r="I54" s="905" t="str">
        <f>IF(VLOOKUP("KM113",Languages!$A:$D,1,TRUE)="KM113",VLOOKUP("KM113",Languages!$A:$D,Summary!$C$7,TRUE),NA())</f>
        <v>Sisäinen viittaus</v>
      </c>
      <c r="J54" s="905" t="str">
        <f>IF(VLOOKUP("KM114",Languages!$A:$D,1,TRUE)="KM114",VLOOKUP("KM114",Languages!$A:$D,Summary!$C$7,TRUE),NA())</f>
        <v>Ulkoinen viittaus</v>
      </c>
      <c r="K54" s="905" t="str">
        <f>IF(VLOOKUP("KM115",Languages!$A:$D,1,TRUE)="KM115",VLOOKUP("KM115",Languages!$A:$D,Summary!$C$7,TRUE),NA())</f>
        <v>Kehityskohde</v>
      </c>
      <c r="L54" s="283"/>
      <c r="M54" s="284"/>
      <c r="N54" s="279"/>
      <c r="O54" s="463" t="str">
        <f>IF(VLOOKUP("GEN-ANSWER",Languages!$A:$D,1,TRUE)="GEN-ANSWER",VLOOKUP("GEN-ANSWER",Languages!$A:$D,Summary!$C$7,TRUE),NA())</f>
        <v>Vastaus</v>
      </c>
      <c r="P54" s="463" t="str">
        <f>IF(VLOOKUP("KM112",Languages!$A:$D,1,TRUE)="KM112",VLOOKUP("KM112",Languages!$A:$D,Summary!$C$7,TRUE),NA())</f>
        <v>Kommentit</v>
      </c>
      <c r="Q54" s="463" t="str">
        <f>IF(VLOOKUP("KM113",Languages!$A:$D,1,TRUE)="KM113",VLOOKUP("KM113",Languages!$A:$D,Summary!$C$7,TRUE),NA())</f>
        <v>Sisäinen viittaus</v>
      </c>
      <c r="R54" s="463" t="str">
        <f>IF(VLOOKUP("KM114",Languages!$A:$D,1,TRUE)="KM114",VLOOKUP("KM114",Languages!$A:$D,Summary!$C$7,TRUE),NA())</f>
        <v>Ulkoinen viittaus</v>
      </c>
      <c r="S54" s="463" t="str">
        <f>IF(VLOOKUP("KM115",Languages!$A:$D,1,TRUE)="KM115",VLOOKUP("KM115",Languages!$A:$D,Summary!$C$7,TRUE),NA())</f>
        <v>Kehityskohde</v>
      </c>
      <c r="T54" s="283"/>
      <c r="U54" s="284"/>
    </row>
    <row r="55" spans="1:21" s="311" customFormat="1" ht="19.95" customHeight="1" x14ac:dyDescent="0.2">
      <c r="A55" s="284"/>
      <c r="B55" s="279"/>
      <c r="C55" s="457">
        <v>1</v>
      </c>
      <c r="D55" s="401"/>
      <c r="E55" s="402"/>
      <c r="F55" s="404"/>
      <c r="G55" s="908"/>
      <c r="H55" s="909"/>
      <c r="I55" s="909"/>
      <c r="J55" s="909"/>
      <c r="K55" s="910"/>
      <c r="L55" s="154"/>
      <c r="M55" s="252"/>
      <c r="N55" s="149"/>
      <c r="O55" s="517"/>
      <c r="P55" s="403"/>
      <c r="Q55" s="403"/>
      <c r="R55" s="403"/>
      <c r="S55" s="405"/>
      <c r="T55" s="154"/>
      <c r="U55" s="252"/>
    </row>
    <row r="56" spans="1:21" s="296" customFormat="1" ht="34.950000000000003" customHeight="1" x14ac:dyDescent="0.2">
      <c r="A56" s="305"/>
      <c r="B56" s="1199"/>
      <c r="C56" s="1207">
        <v>2</v>
      </c>
      <c r="D56" s="395" t="s">
        <v>117</v>
      </c>
      <c r="E56" s="467" t="str">
        <f>IF(VLOOKUP(CONCATENATE($C$3,"-",$D56),Languages!$A:$D,1,TRUE)=CONCATENATE($C$3,"-",$D56),VLOOKUP(CONCATENATE($C$3,"-",$D56),Languages!$A:$D,Summary!$C$7,TRUE),NA())</f>
        <v>SITUATION-osion toimintaa varten on määritetty dokumentoidut toimintatavat, joita noudatetaan ja päivitetään säännöllisesti.</v>
      </c>
      <c r="F56" s="386">
        <f t="shared" ref="F56:F61" si="3">IFERROR(INT(LEFT($G56,1)),0)</f>
        <v>0</v>
      </c>
      <c r="G56" s="445" t="s">
        <v>2542</v>
      </c>
      <c r="H56" s="442"/>
      <c r="I56" s="442"/>
      <c r="J56" s="442"/>
      <c r="K56" s="451"/>
      <c r="L56" s="154"/>
      <c r="M56" s="252"/>
      <c r="N56" s="149"/>
      <c r="O56" s="889" t="str">
        <f>VLOOKUP(VLOOKUP($C$3&amp;"-"&amp;$D56,Import!$C:$D,2,FALSE),Parameters!$C$18:$F$22,Summary!$C$7,FALSE)</f>
        <v xml:space="preserve">0 - Vastaus puuttuu </v>
      </c>
      <c r="P56" s="921" t="str">
        <f>IF(VLOOKUP($C$3&amp;"-"&amp;$D56,Import!$C:$H,3,FALSE)=0,"",VLOOKUP($C$3&amp;"-"&amp;$D56,Import!$C:$H,3,FALSE))</f>
        <v/>
      </c>
      <c r="Q56" s="921" t="str">
        <f>IF(VLOOKUP($C$3&amp;"-"&amp;$D56,Import!$C:$H,4,FALSE)=0,"",VLOOKUP($C$3&amp;"-"&amp;$D56,Import!$C:$H,4,FALSE))</f>
        <v/>
      </c>
      <c r="R56" s="921" t="str">
        <f>IF(VLOOKUP($C$3&amp;"-"&amp;$D56,Import!$C:$H,5,FALSE)=0,"",VLOOKUP($C$3&amp;"-"&amp;$D56,Import!$C:$H,5,FALSE))</f>
        <v/>
      </c>
      <c r="S56" s="922" t="str">
        <f>IF(VLOOKUP($C$3&amp;"-"&amp;$D56,Import!$C:$H,6,FALSE)=0,"",VLOOKUP($C$3&amp;"-"&amp;$D56,Import!$C:$H,6,FALSE))</f>
        <v/>
      </c>
      <c r="T56" s="154"/>
      <c r="U56" s="252"/>
    </row>
    <row r="57" spans="1:21" s="296" customFormat="1" ht="34.950000000000003" customHeight="1" x14ac:dyDescent="0.2">
      <c r="A57" s="305"/>
      <c r="B57" s="1199"/>
      <c r="C57" s="1208"/>
      <c r="D57" s="396" t="s">
        <v>120</v>
      </c>
      <c r="E57" s="474" t="str">
        <f>IF(VLOOKUP(CONCATENATE($C$3,"-",$D57),Languages!$A:$D,1,TRUE)=CONCATENATE($C$3,"-",$D57),VLOOKUP(CONCATENATE($C$3,"-",$D57),Languages!$A:$D,Summary!$C$7,TRUE),NA())</f>
        <v>SITUATION-osion toimintaa varten on tarjolla riittävät resurssit (henkilöstö, rahoitus ja työkalut).</v>
      </c>
      <c r="F57" s="393">
        <f t="shared" si="3"/>
        <v>0</v>
      </c>
      <c r="G57" s="449" t="s">
        <v>2542</v>
      </c>
      <c r="H57" s="444"/>
      <c r="I57" s="444"/>
      <c r="J57" s="444"/>
      <c r="K57" s="453"/>
      <c r="L57" s="154"/>
      <c r="M57" s="252"/>
      <c r="N57" s="149"/>
      <c r="O57" s="897" t="str">
        <f>VLOOKUP(VLOOKUP($C$3&amp;"-"&amp;$D57,Import!$C:$D,2,FALSE),Parameters!$C$18:$F$22,Summary!$C$7,FALSE)</f>
        <v xml:space="preserve">0 - Vastaus puuttuu </v>
      </c>
      <c r="P57" s="923" t="str">
        <f>IF(VLOOKUP($C$3&amp;"-"&amp;$D57,Import!$C:$H,3,FALSE)=0,"",VLOOKUP($C$3&amp;"-"&amp;$D57,Import!$C:$H,3,FALSE))</f>
        <v/>
      </c>
      <c r="Q57" s="923" t="str">
        <f>IF(VLOOKUP($C$3&amp;"-"&amp;$D57,Import!$C:$H,4,FALSE)=0,"",VLOOKUP($C$3&amp;"-"&amp;$D57,Import!$C:$H,4,FALSE))</f>
        <v/>
      </c>
      <c r="R57" s="923" t="str">
        <f>IF(VLOOKUP($C$3&amp;"-"&amp;$D57,Import!$C:$H,5,FALSE)=0,"",VLOOKUP($C$3&amp;"-"&amp;$D57,Import!$C:$H,5,FALSE))</f>
        <v/>
      </c>
      <c r="S57" s="924" t="str">
        <f>IF(VLOOKUP($C$3&amp;"-"&amp;$D57,Import!$C:$H,6,FALSE)=0,"",VLOOKUP($C$3&amp;"-"&amp;$D57,Import!$C:$H,6,FALSE))</f>
        <v/>
      </c>
      <c r="T57" s="154"/>
      <c r="U57" s="252"/>
    </row>
    <row r="58" spans="1:21" s="296" customFormat="1" ht="48.6" customHeight="1" x14ac:dyDescent="0.2">
      <c r="A58" s="305"/>
      <c r="B58" s="1199"/>
      <c r="C58" s="1209">
        <v>3</v>
      </c>
      <c r="D58" s="395" t="s">
        <v>123</v>
      </c>
      <c r="E58" s="467" t="str">
        <f>IF(VLOOKUP(CONCATENATE($C$3,"-",$D58),Languages!$A:$D,1,TRUE)=CONCATENATE($C$3,"-",$D58),VLOOKUP(CONCATENATE($C$3,"-",$D58),Languages!$A:$D,Summary!$C$7,TRUE),NA())</f>
        <v>SITUATION-osion toimintaa ohjataan vaatimuksilla, jotka on asetettu organisaation johtotason politiikassa (tai vastaavassa ohjeistuksessa).</v>
      </c>
      <c r="F58" s="386">
        <f t="shared" si="3"/>
        <v>0</v>
      </c>
      <c r="G58" s="445" t="s">
        <v>2542</v>
      </c>
      <c r="H58" s="442"/>
      <c r="I58" s="442"/>
      <c r="J58" s="442"/>
      <c r="K58" s="451"/>
      <c r="L58" s="154"/>
      <c r="M58" s="252"/>
      <c r="N58" s="149"/>
      <c r="O58" s="889" t="str">
        <f>VLOOKUP(VLOOKUP($C$3&amp;"-"&amp;$D58,Import!$C:$D,2,FALSE),Parameters!$C$18:$F$22,Summary!$C$7,FALSE)</f>
        <v xml:space="preserve">0 - Vastaus puuttuu </v>
      </c>
      <c r="P58" s="921" t="str">
        <f>IF(VLOOKUP($C$3&amp;"-"&amp;$D58,Import!$C:$H,3,FALSE)=0,"",VLOOKUP($C$3&amp;"-"&amp;$D58,Import!$C:$H,3,FALSE))</f>
        <v/>
      </c>
      <c r="Q58" s="921" t="str">
        <f>IF(VLOOKUP($C$3&amp;"-"&amp;$D58,Import!$C:$H,4,FALSE)=0,"",VLOOKUP($C$3&amp;"-"&amp;$D58,Import!$C:$H,4,FALSE))</f>
        <v/>
      </c>
      <c r="R58" s="921" t="str">
        <f>IF(VLOOKUP($C$3&amp;"-"&amp;$D58,Import!$C:$H,5,FALSE)=0,"",VLOOKUP($C$3&amp;"-"&amp;$D58,Import!$C:$H,5,FALSE))</f>
        <v/>
      </c>
      <c r="S58" s="922" t="str">
        <f>IF(VLOOKUP($C$3&amp;"-"&amp;$D58,Import!$C:$H,6,FALSE)=0,"",VLOOKUP($C$3&amp;"-"&amp;$D58,Import!$C:$H,6,FALSE))</f>
        <v/>
      </c>
      <c r="T58" s="154"/>
      <c r="U58" s="252"/>
    </row>
    <row r="59" spans="1:21" s="296" customFormat="1" ht="34.950000000000003" customHeight="1" x14ac:dyDescent="0.2">
      <c r="A59" s="305"/>
      <c r="B59" s="1199"/>
      <c r="C59" s="1210"/>
      <c r="D59" s="294" t="s">
        <v>126</v>
      </c>
      <c r="E59" s="468" t="str">
        <f>IF(VLOOKUP(CONCATENATE($C$3,"-",$D59),Languages!$A:$D,1,TRUE)=CONCATENATE($C$3,"-",$D59),VLOOKUP(CONCATENATE($C$3,"-",$D59),Languages!$A:$D,Summary!$C$7,TRUE),NA())</f>
        <v>SITUATION-osion toiminnan suorittamiseen tarvittavat vastuut, tilivelvollisuudet ja valtuutukset on jalkautettu soveltuville työntekijöille.</v>
      </c>
      <c r="F59" s="287">
        <f t="shared" si="3"/>
        <v>0</v>
      </c>
      <c r="G59" s="307" t="s">
        <v>2542</v>
      </c>
      <c r="H59" s="443"/>
      <c r="I59" s="443"/>
      <c r="J59" s="443"/>
      <c r="K59" s="452"/>
      <c r="L59" s="154"/>
      <c r="M59" s="252"/>
      <c r="N59" s="149"/>
      <c r="O59" s="892" t="str">
        <f>VLOOKUP(VLOOKUP($C$3&amp;"-"&amp;$D59,Import!$C:$D,2,FALSE),Parameters!$C$18:$F$22,Summary!$C$7,FALSE)</f>
        <v xml:space="preserve">0 - Vastaus puuttuu </v>
      </c>
      <c r="P59" s="916" t="str">
        <f>IF(VLOOKUP($C$3&amp;"-"&amp;$D59,Import!$C:$H,3,FALSE)=0,"",VLOOKUP($C$3&amp;"-"&amp;$D59,Import!$C:$H,3,FALSE))</f>
        <v/>
      </c>
      <c r="Q59" s="916" t="str">
        <f>IF(VLOOKUP($C$3&amp;"-"&amp;$D59,Import!$C:$H,4,FALSE)=0,"",VLOOKUP($C$3&amp;"-"&amp;$D59,Import!$C:$H,4,FALSE))</f>
        <v/>
      </c>
      <c r="R59" s="916" t="str">
        <f>IF(VLOOKUP($C$3&amp;"-"&amp;$D59,Import!$C:$H,5,FALSE)=0,"",VLOOKUP($C$3&amp;"-"&amp;$D59,Import!$C:$H,5,FALSE))</f>
        <v/>
      </c>
      <c r="S59" s="917" t="str">
        <f>IF(VLOOKUP($C$3&amp;"-"&amp;$D59,Import!$C:$H,6,FALSE)=0,"",VLOOKUP($C$3&amp;"-"&amp;$D59,Import!$C:$H,6,FALSE))</f>
        <v/>
      </c>
      <c r="T59" s="154"/>
      <c r="U59" s="252"/>
    </row>
    <row r="60" spans="1:21" s="296" customFormat="1" ht="46.2" customHeight="1" x14ac:dyDescent="0.2">
      <c r="A60" s="305"/>
      <c r="B60" s="1199"/>
      <c r="C60" s="1210"/>
      <c r="D60" s="294" t="s">
        <v>129</v>
      </c>
      <c r="E60" s="468" t="str">
        <f>IF(VLOOKUP(CONCATENATE($C$3,"-",$D60),Languages!$A:$D,1,TRUE)=CONCATENATE($C$3,"-",$D60),VLOOKUP(CONCATENATE($C$3,"-",$D60),Languages!$A:$D,Summary!$C$7,TRUE),NA())</f>
        <v>SITUATION-osion toimintaa suorittavilla työntekijöillä on riittävät tiedot ja taidot tehtäviensä suorittamiseen.</v>
      </c>
      <c r="F60" s="287">
        <f t="shared" si="3"/>
        <v>0</v>
      </c>
      <c r="G60" s="307" t="s">
        <v>2542</v>
      </c>
      <c r="H60" s="443"/>
      <c r="I60" s="443"/>
      <c r="J60" s="443"/>
      <c r="K60" s="452"/>
      <c r="L60" s="154"/>
      <c r="M60" s="252"/>
      <c r="N60" s="149"/>
      <c r="O60" s="892" t="str">
        <f>VLOOKUP(VLOOKUP($C$3&amp;"-"&amp;$D60,Import!$C:$D,2,FALSE),Parameters!$C$18:$F$22,Summary!$C$7,FALSE)</f>
        <v xml:space="preserve">0 - Vastaus puuttuu </v>
      </c>
      <c r="P60" s="916" t="str">
        <f>IF(VLOOKUP($C$3&amp;"-"&amp;$D60,Import!$C:$H,3,FALSE)=0,"",VLOOKUP($C$3&amp;"-"&amp;$D60,Import!$C:$H,3,FALSE))</f>
        <v/>
      </c>
      <c r="Q60" s="916" t="str">
        <f>IF(VLOOKUP($C$3&amp;"-"&amp;$D60,Import!$C:$H,4,FALSE)=0,"",VLOOKUP($C$3&amp;"-"&amp;$D60,Import!$C:$H,4,FALSE))</f>
        <v/>
      </c>
      <c r="R60" s="916" t="str">
        <f>IF(VLOOKUP($C$3&amp;"-"&amp;$D60,Import!$C:$H,5,FALSE)=0,"",VLOOKUP($C$3&amp;"-"&amp;$D60,Import!$C:$H,5,FALSE))</f>
        <v/>
      </c>
      <c r="S60" s="917" t="str">
        <f>IF(VLOOKUP($C$3&amp;"-"&amp;$D60,Import!$C:$H,6,FALSE)=0,"",VLOOKUP($C$3&amp;"-"&amp;$D60,Import!$C:$H,6,FALSE))</f>
        <v/>
      </c>
      <c r="T60" s="154"/>
      <c r="U60" s="252"/>
    </row>
    <row r="61" spans="1:21" s="296" customFormat="1" ht="34.950000000000003" customHeight="1" x14ac:dyDescent="0.2">
      <c r="A61" s="305"/>
      <c r="B61" s="1199"/>
      <c r="C61" s="1211"/>
      <c r="D61" s="396" t="s">
        <v>131</v>
      </c>
      <c r="E61" s="474" t="str">
        <f>IF(VLOOKUP(CONCATENATE($C$3,"-",$D61),Languages!$A:$D,1,TRUE)=CONCATENATE($C$3,"-",$D61),VLOOKUP(CONCATENATE($C$3,"-",$D61),Languages!$A:$D,Summary!$C$7,TRUE),NA())</f>
        <v>SITUATION-osion toiminnan vaikuttavuutta arvioidaan ja seurataan.</v>
      </c>
      <c r="F61" s="393">
        <f t="shared" si="3"/>
        <v>0</v>
      </c>
      <c r="G61" s="449" t="s">
        <v>2542</v>
      </c>
      <c r="H61" s="444"/>
      <c r="I61" s="444"/>
      <c r="J61" s="444"/>
      <c r="K61" s="453"/>
      <c r="L61" s="154"/>
      <c r="M61" s="252"/>
      <c r="N61" s="149"/>
      <c r="O61" s="897" t="str">
        <f>VLOOKUP(VLOOKUP($C$3&amp;"-"&amp;$D61,Import!$C:$D,2,FALSE),Parameters!$C$18:$F$22,Summary!$C$7,FALSE)</f>
        <v xml:space="preserve">0 - Vastaus puuttuu </v>
      </c>
      <c r="P61" s="923" t="str">
        <f>IF(VLOOKUP($C$3&amp;"-"&amp;$D61,Import!$C:$H,3,FALSE)=0,"",VLOOKUP($C$3&amp;"-"&amp;$D61,Import!$C:$H,3,FALSE))</f>
        <v/>
      </c>
      <c r="Q61" s="923" t="str">
        <f>IF(VLOOKUP($C$3&amp;"-"&amp;$D61,Import!$C:$H,4,FALSE)=0,"",VLOOKUP($C$3&amp;"-"&amp;$D61,Import!$C:$H,4,FALSE))</f>
        <v/>
      </c>
      <c r="R61" s="923" t="str">
        <f>IF(VLOOKUP($C$3&amp;"-"&amp;$D61,Import!$C:$H,5,FALSE)=0,"",VLOOKUP($C$3&amp;"-"&amp;$D61,Import!$C:$H,5,FALSE))</f>
        <v/>
      </c>
      <c r="S61" s="924" t="str">
        <f>IF(VLOOKUP($C$3&amp;"-"&amp;$D61,Import!$C:$H,6,FALSE)=0,"",VLOOKUP($C$3&amp;"-"&amp;$D61,Import!$C:$H,6,FALSE))</f>
        <v/>
      </c>
      <c r="T61" s="154"/>
      <c r="U61" s="252"/>
    </row>
    <row r="62" spans="1:21" x14ac:dyDescent="0.2">
      <c r="A62" s="181"/>
      <c r="B62" s="329"/>
      <c r="C62" s="330"/>
      <c r="D62" s="331"/>
      <c r="E62" s="332"/>
      <c r="F62" s="333"/>
      <c r="G62" s="334"/>
      <c r="H62" s="335"/>
      <c r="I62" s="335"/>
      <c r="J62" s="335"/>
      <c r="K62" s="335"/>
      <c r="L62" s="154"/>
      <c r="M62" s="252"/>
      <c r="N62" s="149"/>
      <c r="O62" s="334"/>
      <c r="P62" s="335"/>
      <c r="Q62" s="335"/>
      <c r="R62" s="335"/>
      <c r="S62" s="335"/>
      <c r="T62" s="154"/>
      <c r="U62" s="252"/>
    </row>
    <row r="63" spans="1:21" x14ac:dyDescent="0.25">
      <c r="A63" s="181"/>
      <c r="B63" s="181"/>
      <c r="C63" s="181"/>
      <c r="D63" s="181"/>
      <c r="E63" s="181"/>
      <c r="F63" s="336"/>
      <c r="G63" s="181"/>
      <c r="H63" s="181"/>
      <c r="I63" s="181"/>
      <c r="J63" s="181"/>
      <c r="K63" s="181"/>
      <c r="L63" s="476"/>
      <c r="M63" s="309"/>
      <c r="N63" s="476"/>
      <c r="O63" s="181"/>
      <c r="P63" s="181"/>
      <c r="Q63" s="181"/>
      <c r="R63" s="181"/>
      <c r="S63" s="181"/>
      <c r="T63" s="476"/>
      <c r="U63" s="309"/>
    </row>
    <row r="64" spans="1:21" x14ac:dyDescent="0.25">
      <c r="L64" s="340"/>
      <c r="M64" s="339"/>
      <c r="N64" s="182"/>
      <c r="T64" s="340"/>
      <c r="U64" s="339"/>
    </row>
  </sheetData>
  <sheetProtection sheet="1" formatCells="0" formatColumns="0" formatRows="0"/>
  <mergeCells count="42">
    <mergeCell ref="R17:R18"/>
    <mergeCell ref="S17:S18"/>
    <mergeCell ref="O19:O20"/>
    <mergeCell ref="P19:P20"/>
    <mergeCell ref="Q19:Q20"/>
    <mergeCell ref="R19:R20"/>
    <mergeCell ref="S19:S20"/>
    <mergeCell ref="C56:C57"/>
    <mergeCell ref="C58:C61"/>
    <mergeCell ref="C49:C52"/>
    <mergeCell ref="C40:C42"/>
    <mergeCell ref="I8:J8"/>
    <mergeCell ref="I10:J11"/>
    <mergeCell ref="C13:K13"/>
    <mergeCell ref="C34:C35"/>
    <mergeCell ref="C36:C39"/>
    <mergeCell ref="C46:C48"/>
    <mergeCell ref="C15:K15"/>
    <mergeCell ref="C17:K17"/>
    <mergeCell ref="C19:K19"/>
    <mergeCell ref="B60:B61"/>
    <mergeCell ref="B56:B59"/>
    <mergeCell ref="B34:B35"/>
    <mergeCell ref="B26:B27"/>
    <mergeCell ref="B28:B29"/>
    <mergeCell ref="B36:B42"/>
    <mergeCell ref="C6:K6"/>
    <mergeCell ref="C27:C30"/>
    <mergeCell ref="O3:S11"/>
    <mergeCell ref="O13:O14"/>
    <mergeCell ref="P13:P14"/>
    <mergeCell ref="Q13:Q14"/>
    <mergeCell ref="R13:R14"/>
    <mergeCell ref="S13:S14"/>
    <mergeCell ref="O15:O16"/>
    <mergeCell ref="P15:P16"/>
    <mergeCell ref="Q15:Q16"/>
    <mergeCell ref="R15:R16"/>
    <mergeCell ref="S15:S16"/>
    <mergeCell ref="O17:O18"/>
    <mergeCell ref="P17:P18"/>
    <mergeCell ref="Q17:Q18"/>
  </mergeCells>
  <conditionalFormatting sqref="F4:F5 F32 F55:F1048576 F7:F12 F34:F43 F45:F53 F26:F30">
    <cfRule type="containsText" dxfId="180" priority="29" operator="containsText" text="0">
      <formula>NOT(ISERROR(SEARCH("0",F4)))</formula>
    </cfRule>
  </conditionalFormatting>
  <conditionalFormatting sqref="F55">
    <cfRule type="containsText" dxfId="179" priority="27" operator="containsText" text="0">
      <formula>NOT(ISERROR(SEARCH("0",F55)))</formula>
    </cfRule>
  </conditionalFormatting>
  <conditionalFormatting sqref="F31">
    <cfRule type="containsText" dxfId="178" priority="22" operator="containsText" text="0">
      <formula>NOT(ISERROR(SEARCH("0",F31)))</formula>
    </cfRule>
  </conditionalFormatting>
  <conditionalFormatting sqref="F1 F3">
    <cfRule type="containsText" dxfId="177" priority="18" operator="containsText" text="0">
      <formula>NOT(ISERROR(SEARCH("0",F1)))</formula>
    </cfRule>
  </conditionalFormatting>
  <conditionalFormatting sqref="F2">
    <cfRule type="containsText" dxfId="176" priority="17" operator="containsText" text="0">
      <formula>NOT(ISERROR(SEARCH("0",F2)))</formula>
    </cfRule>
  </conditionalFormatting>
  <conditionalFormatting sqref="F54">
    <cfRule type="containsText" dxfId="175" priority="15" operator="containsText" text="0">
      <formula>NOT(ISERROR(SEARCH("0",F54)))</formula>
    </cfRule>
  </conditionalFormatting>
  <conditionalFormatting sqref="F44">
    <cfRule type="containsText" dxfId="174" priority="13" operator="containsText" text="0">
      <formula>NOT(ISERROR(SEARCH("0",F44)))</formula>
    </cfRule>
  </conditionalFormatting>
  <conditionalFormatting sqref="F33">
    <cfRule type="containsText" dxfId="173" priority="11" operator="containsText" text="0">
      <formula>NOT(ISERROR(SEARCH("0",F33)))</formula>
    </cfRule>
  </conditionalFormatting>
  <conditionalFormatting sqref="F25">
    <cfRule type="containsText" dxfId="172" priority="9" operator="containsText" text="0">
      <formula>NOT(ISERROR(SEARCH("0",F25)))</formula>
    </cfRule>
  </conditionalFormatting>
  <conditionalFormatting sqref="F14">
    <cfRule type="containsText" dxfId="171" priority="8" operator="containsText" text="0">
      <formula>NOT(ISERROR(SEARCH("0",F14)))</formula>
    </cfRule>
  </conditionalFormatting>
  <conditionalFormatting sqref="F16">
    <cfRule type="containsText" dxfId="170" priority="6" operator="containsText" text="0">
      <formula>NOT(ISERROR(SEARCH("0",F16)))</formula>
    </cfRule>
  </conditionalFormatting>
  <conditionalFormatting sqref="F18">
    <cfRule type="containsText" dxfId="169" priority="4" operator="containsText" text="0">
      <formula>NOT(ISERROR(SEARCH("0",F18)))</formula>
    </cfRule>
  </conditionalFormatting>
  <conditionalFormatting sqref="F24">
    <cfRule type="containsText" dxfId="168" priority="2" operator="containsText" text="0">
      <formula>NOT(ISERROR(SEARCH("0",F24)))</formula>
    </cfRule>
  </conditionalFormatting>
  <pageMargins left="0.7" right="0.7" top="0.75" bottom="0.75" header="0.3" footer="0.3"/>
  <pageSetup paperSize="9" scale="42" orientation="portrait" r:id="rId1"/>
  <rowBreaks count="1" manualBreakCount="1">
    <brk id="42" max="16383" man="1"/>
  </rowBreaks>
  <colBreaks count="1" manualBreakCount="1">
    <brk id="13" max="1048575" man="1"/>
  </colBreaks>
  <ignoredErrors>
    <ignoredError sqref="O26:S29 O34:S42 O46:S52 O56:S61 O31:S31"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0" id="{EF75874F-029A-4B47-956D-E181287162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xm:sqref>
        </x14:conditionalFormatting>
        <x14:conditionalFormatting xmlns:xm="http://schemas.microsoft.com/office/excel/2006/main">
          <x14:cfRule type="iconSet" priority="28" id="{4B8E50D5-6EAE-40F2-A667-9E9A5712B11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xm:sqref>
        </x14:conditionalFormatting>
        <x14:conditionalFormatting xmlns:xm="http://schemas.microsoft.com/office/excel/2006/main">
          <x14:cfRule type="iconSet" priority="26" id="{F06151A1-6285-4FAA-948D-5C64D6EDDF2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F55:F1048576 F32 F4:F5 F45:F53 F34:F43 F7:F12 F26:F30</xm:sqref>
        </x14:conditionalFormatting>
        <x14:conditionalFormatting xmlns:xm="http://schemas.microsoft.com/office/excel/2006/main">
          <x14:cfRule type="iconSet" priority="21" id="{F9E4C5C7-4D2E-480C-8845-B53BB4E4480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F31</xm:sqref>
        </x14:conditionalFormatting>
        <x14:conditionalFormatting xmlns:xm="http://schemas.microsoft.com/office/excel/2006/main">
          <x14:cfRule type="iconSet" priority="19" id="{D3B462AF-0D07-47C0-91DD-0C37E1DD3F8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DD989332-72BB-49BE-A7AC-8190E1C4DA7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6" id="{78708147-D5CC-481A-B205-CC6AD946174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xm:sqref>
        </x14:conditionalFormatting>
        <x14:conditionalFormatting xmlns:xm="http://schemas.microsoft.com/office/excel/2006/main">
          <x14:cfRule type="iconSet" priority="14" id="{FA394456-1F87-41D2-927C-E4D899DE8F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F44</xm:sqref>
        </x14:conditionalFormatting>
        <x14:conditionalFormatting xmlns:xm="http://schemas.microsoft.com/office/excel/2006/main">
          <x14:cfRule type="iconSet" priority="12" id="{90AF1868-6832-4737-8850-C37E4F1F0AE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F33</xm:sqref>
        </x14:conditionalFormatting>
        <x14:conditionalFormatting xmlns:xm="http://schemas.microsoft.com/office/excel/2006/main">
          <x14:cfRule type="iconSet" priority="10" id="{BB927B4F-0345-467E-90EA-6BF30877ADB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7" id="{1A145974-6201-4296-85C7-6E0926090B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5" id="{45BBB562-974E-46B3-98A9-0A1F8810BFF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3" id="{938F0B84-3F61-437F-9D50-6DF5F8D45C6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1" id="{2ADA6601-3A20-4C67-8BA1-31029F42DC6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Parameters!$B$18:$B$22</xm:f>
          </x14:formula1>
          <xm:sqref>G34:G42 G46:G52 G56:G61 G26:G31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vt:i4>
      </vt:variant>
    </vt:vector>
  </HeadingPairs>
  <TitlesOfParts>
    <vt:vector size="38" baseType="lpstr">
      <vt:lpstr>Changelog</vt:lpstr>
      <vt:lpstr>Muutokset</vt:lpstr>
      <vt:lpstr>Summary</vt:lpstr>
      <vt:lpstr>CRITICAL</vt:lpstr>
      <vt:lpstr>ASSET</vt:lpstr>
      <vt:lpstr>THREAT</vt:lpstr>
      <vt:lpstr>RISK</vt:lpstr>
      <vt:lpstr>ACCESS</vt:lpstr>
      <vt:lpstr>SITUATION</vt:lpstr>
      <vt:lpstr>RESPONSE</vt:lpstr>
      <vt:lpstr>THIRD-PARTIES</vt:lpstr>
      <vt:lpstr>WORKFORCE</vt:lpstr>
      <vt:lpstr>ARCHITECTURE</vt:lpstr>
      <vt:lpstr>PROGRAM</vt:lpstr>
      <vt:lpstr>Investment</vt:lpstr>
      <vt:lpstr>R1</vt:lpstr>
      <vt:lpstr>R2</vt:lpstr>
      <vt:lpstr>R3</vt:lpstr>
      <vt:lpstr>R4</vt:lpstr>
      <vt:lpstr>R5</vt:lpstr>
      <vt:lpstr>R6</vt:lpstr>
      <vt:lpstr>R7</vt:lpstr>
      <vt:lpstr>Export</vt:lpstr>
      <vt:lpstr>Export_KTK</vt:lpstr>
      <vt:lpstr>Infoimport</vt:lpstr>
      <vt:lpstr>Import</vt:lpstr>
      <vt:lpstr>Data</vt:lpstr>
      <vt:lpstr>NISTmap</vt:lpstr>
      <vt:lpstr>NIST CSF</vt:lpstr>
      <vt:lpstr>Languages</vt:lpstr>
      <vt:lpstr>Parameters</vt:lpstr>
      <vt:lpstr>NISTmap_v2</vt:lpstr>
      <vt:lpstr>Export_KTK!Print_Area</vt:lpstr>
      <vt:lpstr>'R1'!Print_Area</vt:lpstr>
      <vt:lpstr>'R2'!Print_Area</vt:lpstr>
      <vt:lpstr>'R3'!Print_Area</vt:lpstr>
      <vt:lpstr>'R4'!Print_Area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Koivunen Harri</cp:lastModifiedBy>
  <cp:lastPrinted>2022-02-09T18:39:19Z</cp:lastPrinted>
  <dcterms:created xsi:type="dcterms:W3CDTF">2021-10-20T21:40:45Z</dcterms:created>
  <dcterms:modified xsi:type="dcterms:W3CDTF">2023-08-29T12:27:54Z</dcterms:modified>
</cp:coreProperties>
</file>